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F:\KOORDİNASYON 31.01.2023\GENEL TABLOLAR\"/>
    </mc:Choice>
  </mc:AlternateContent>
  <xr:revisionPtr revIDLastSave="0" documentId="13_ncr:1_{8CE017B2-C587-49EA-8BDD-20142B8131FC}" xr6:coauthVersionLast="36" xr6:coauthVersionMax="36" xr10:uidLastSave="{00000000-0000-0000-0000-000000000000}"/>
  <bookViews>
    <workbookView xWindow="0" yWindow="0" windowWidth="18810" windowHeight="6780" firstSheet="3" activeTab="3" xr2:uid="{00000000-000D-0000-FFFF-FFFF00000000}"/>
  </bookViews>
  <sheets>
    <sheet name="TÜM KURULUŞLAR" sheetId="10" r:id="rId1"/>
    <sheet name="GENEL BÜTÇE" sheetId="1" r:id="rId2"/>
    <sheet name="MAHALLİ İDARELER" sheetId="6" r:id="rId3"/>
    <sheet name="İLÇELER" sheetId="7" r:id="rId4"/>
    <sheet name="SEKTÖRLER" sheetId="9" r:id="rId5"/>
    <sheet name="ERZİNCAN BELEDİYESİ" sheetId="11" r:id="rId6"/>
    <sheet name="EBYÜ" sheetId="13" r:id="rId7"/>
    <sheet name="İL ÖZEL İDARESİ" sheetId="14" r:id="rId8"/>
    <sheet name="DSİ 8. BÖLGE MÜDÜRLÜĞÜ " sheetId="15" r:id="rId9"/>
    <sheet name="KARAYOLLARI 16. BÖLGE MÜDÜRLÜĞÜ" sheetId="16" r:id="rId10"/>
    <sheet name="KARAYOLLARI 12. BÖLGE " sheetId="17" r:id="rId11"/>
    <sheet name=" İLLER BANKASI  BÖLGE " sheetId="18" r:id="rId12"/>
    <sheet name="ORMAN BÖLGE" sheetId="19" r:id="rId13"/>
    <sheet name="TAPU VE KADASTRO 24. BÖLGE" sheetId="20" r:id="rId14"/>
    <sheet name="TARIM VE ORMAN BAKANLIĞI 13. BÖ" sheetId="21" r:id="rId15"/>
    <sheet name="TCDD 4. BÖLGE MÜDÜRLÜĞÜ " sheetId="22" r:id="rId16"/>
    <sheet name=" TEİAŞ 15. BÖLGE MÜDÜRLÜĞÜ " sheetId="23" r:id="rId17"/>
    <sheet name="VAKIFLAR BÖLGE MÜDÜRLÜĞ" sheetId="24" r:id="rId18"/>
    <sheet name=" ÇEVRE, ŞEHİRCİLİK VE İ" sheetId="25" r:id="rId19"/>
    <sheet name=" GENÇLİK VE SPOR İL MÜ" sheetId="26" r:id="rId20"/>
    <sheet name=" İL AFET VE ACİL DURUM " sheetId="27" r:id="rId21"/>
    <sheet name=" İL EMNİYET MÜDÜRLÜĞÜ" sheetId="28" r:id="rId22"/>
    <sheet name=" İL JANDARMA KOMUTANLIĞ" sheetId="29" r:id="rId23"/>
    <sheet name=" İL KÜLTÜR VE TURİZM MÜ" sheetId="30" r:id="rId24"/>
    <sheet name=" İL SAĞLIK MÜDÜRLÜĞÜ" sheetId="31" r:id="rId25"/>
    <sheet name=" İL TARIM VE ORMAN MÜDÜ" sheetId="32" r:id="rId26"/>
    <sheet name=" İL MİLLİ EĞİTİM MÜDÜRLÜĞÜ " sheetId="33" r:id="rId2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3" l="1"/>
  <c r="C38" i="33"/>
  <c r="D38" i="33"/>
  <c r="E38" i="33"/>
  <c r="F38" i="33"/>
  <c r="B29" i="32" l="1"/>
  <c r="C29" i="32"/>
  <c r="D29" i="32"/>
  <c r="E29" i="32"/>
  <c r="F29" i="32"/>
  <c r="B16" i="31" l="1"/>
  <c r="C16" i="31"/>
  <c r="D16" i="31"/>
  <c r="E16" i="31"/>
  <c r="F16" i="31"/>
  <c r="B8" i="30" l="1"/>
  <c r="C8" i="30"/>
  <c r="D8" i="30"/>
  <c r="E8" i="30"/>
  <c r="F8" i="30"/>
  <c r="B6" i="29" l="1"/>
  <c r="C6" i="29"/>
  <c r="D6" i="29"/>
  <c r="E6" i="29"/>
  <c r="F6" i="29"/>
  <c r="B5" i="28" l="1"/>
  <c r="C5" i="28"/>
  <c r="D5" i="28"/>
  <c r="E5" i="28"/>
  <c r="F5" i="28"/>
  <c r="B9" i="27" l="1"/>
  <c r="C9" i="27"/>
  <c r="D9" i="27"/>
  <c r="E9" i="27"/>
  <c r="F9" i="27"/>
  <c r="B13" i="26" l="1"/>
  <c r="C13" i="26"/>
  <c r="D13" i="26"/>
  <c r="E13" i="26"/>
  <c r="F13" i="26"/>
  <c r="B9" i="25" l="1"/>
  <c r="C9" i="25"/>
  <c r="D9" i="25"/>
  <c r="E9" i="25"/>
  <c r="F9" i="25"/>
  <c r="B7" i="24" l="1"/>
  <c r="C7" i="24"/>
  <c r="D7" i="24"/>
  <c r="E7" i="24"/>
  <c r="F7" i="24"/>
  <c r="B6" i="23" l="1"/>
  <c r="C6" i="23"/>
  <c r="D6" i="23"/>
  <c r="E6" i="23"/>
  <c r="F6" i="23"/>
  <c r="B25" i="22" l="1"/>
  <c r="C25" i="22"/>
  <c r="D25" i="22"/>
  <c r="E25" i="22"/>
  <c r="F25" i="22"/>
  <c r="B5" i="21" l="1"/>
  <c r="C5" i="21"/>
  <c r="D5" i="21"/>
  <c r="E5" i="21"/>
  <c r="F5" i="21"/>
  <c r="B5" i="20" l="1"/>
  <c r="C5" i="20"/>
  <c r="D5" i="20"/>
  <c r="E5" i="20"/>
  <c r="F5" i="20"/>
  <c r="B10" i="19" l="1"/>
  <c r="C10" i="19"/>
  <c r="D10" i="19"/>
  <c r="E10" i="19"/>
  <c r="F10" i="19"/>
  <c r="B8" i="18" l="1"/>
  <c r="C8" i="18"/>
  <c r="D8" i="18"/>
  <c r="E8" i="18"/>
  <c r="F8" i="18"/>
  <c r="B5" i="17" l="1"/>
  <c r="C5" i="17"/>
  <c r="D5" i="17"/>
  <c r="E5" i="17"/>
  <c r="F5" i="17"/>
  <c r="B26" i="16" l="1"/>
  <c r="C26" i="16"/>
  <c r="D26" i="16"/>
  <c r="E26" i="16"/>
  <c r="F26" i="16"/>
  <c r="B44" i="15" l="1"/>
  <c r="C44" i="15"/>
  <c r="D44" i="15"/>
  <c r="E44" i="15"/>
  <c r="F44" i="15"/>
  <c r="B185" i="14" l="1"/>
  <c r="C185" i="14"/>
  <c r="D185" i="14"/>
  <c r="E185" i="14"/>
  <c r="F185" i="14"/>
  <c r="B13" i="13" l="1"/>
  <c r="C13" i="13"/>
  <c r="D13" i="13"/>
  <c r="E13" i="13"/>
  <c r="F13" i="13"/>
  <c r="B20" i="11" l="1"/>
  <c r="C20" i="11"/>
  <c r="D20" i="11"/>
  <c r="E20" i="11"/>
  <c r="F20" i="11"/>
  <c r="B26" i="10" l="1"/>
  <c r="C26" i="10"/>
  <c r="D26" i="10"/>
  <c r="E26" i="10"/>
  <c r="F26" i="10"/>
  <c r="G26" i="10"/>
  <c r="B13" i="9" l="1"/>
  <c r="C13" i="9"/>
  <c r="D13" i="9"/>
  <c r="E13" i="9"/>
  <c r="F13" i="9"/>
  <c r="G13" i="9"/>
  <c r="G14" i="7" l="1"/>
  <c r="F14" i="7"/>
  <c r="E14" i="7"/>
  <c r="D14" i="7"/>
  <c r="C14" i="7"/>
  <c r="B14" i="7"/>
  <c r="G6" i="6" l="1"/>
  <c r="F6" i="6"/>
  <c r="E6" i="6"/>
  <c r="D6" i="6"/>
  <c r="C6" i="6"/>
  <c r="B6" i="6"/>
  <c r="C24" i="1" l="1"/>
  <c r="D24" i="1"/>
  <c r="E24" i="1"/>
  <c r="F24" i="1"/>
  <c r="G24" i="1"/>
  <c r="B24" i="1"/>
</calcChain>
</file>

<file path=xl/sharedStrings.xml><?xml version="1.0" encoding="utf-8"?>
<sst xmlns="http://schemas.openxmlformats.org/spreadsheetml/2006/main" count="1188" uniqueCount="499">
  <si>
    <t>Yatırımcı Kuruluş</t>
  </si>
  <si>
    <t>Proje Sayısı</t>
  </si>
  <si>
    <t>Toplam Yıl Ödeneği</t>
  </si>
  <si>
    <t>Toplam Proje Tutarı</t>
  </si>
  <si>
    <t>Önceki Yıllar Toplam Harcaması</t>
  </si>
  <si>
    <t>Yılı Harcama Tutarı</t>
  </si>
  <si>
    <t>Toplam Harcama Tutarı</t>
  </si>
  <si>
    <t>Nakdi Gerçekleşme Oranı</t>
  </si>
  <si>
    <t>Dönem Nakdi Gerçekleşme Oranı</t>
  </si>
  <si>
    <t>Yılı Harcama Oranı</t>
  </si>
  <si>
    <t>Fiziki Gerçekleşme Oranı</t>
  </si>
  <si>
    <t>ERZİNCAN İL EMNİYET MÜDÜRLÜĞÜ</t>
  </si>
  <si>
    <t>TEİAŞ 15. BÖLGE MÜDÜRLÜĞÜ</t>
  </si>
  <si>
    <t>ERZİNCAN ÇEVRE, ŞEHİRCİLİK VE İKLİM DEĞİŞİKLİĞİ İL MÜDÜRLÜĞÜ</t>
  </si>
  <si>
    <t>DSİ 8. BÖLGE MÜDÜRLÜĞÜ</t>
  </si>
  <si>
    <t>TCDD 4. BÖLGE MÜDÜRLÜĞÜ</t>
  </si>
  <si>
    <t>ERZİNCAN İL TARIM VE ORMAN MÜDÜRLÜĞÜ</t>
  </si>
  <si>
    <t>ERZURUM VAKIFLAR BÖLGE MÜDÜRLÜĞÜ</t>
  </si>
  <si>
    <t>KARAYOLLARI 16. BÖLGE MÜDÜRLÜĞÜ</t>
  </si>
  <si>
    <t>TARIM VE ORMAN BAKANLIĞI 13. BÖLGE MÜDÜRLÜĞÜ</t>
  </si>
  <si>
    <t>ERZİNCAN BİNALİ YILDIRIM ÜNİVERSİTESİ REKTÖRLÜĞÜ</t>
  </si>
  <si>
    <t>ERZİNCAN İL MİLLİ EĞİTİM MÜDÜRLÜĞÜ</t>
  </si>
  <si>
    <t>ERZİNCAN GENÇLİK VE SPOR İL MÜDÜRLÜĞÜ</t>
  </si>
  <si>
    <t>İLLER BANKASI ERZURUM BÖLGE MÜDÜRLÜĞÜ</t>
  </si>
  <si>
    <t>ERZİNCAN İL SAĞLIK MÜDÜRLÜĞÜ</t>
  </si>
  <si>
    <t>ERZİNCAN İL KÜLTÜR VE TURİZM MÜDÜRLÜĞÜ</t>
  </si>
  <si>
    <t>KARAYOLLARI 12. BÖLGE MÜDÜRLÜĞÜ</t>
  </si>
  <si>
    <t>ERZURUM ORMAN BÖLGE MÜDÜRLÜĞÜ</t>
  </si>
  <si>
    <t>ERZİNCAN İL AFET VE ACİL DURUM MÜDÜRLÜĞÜ</t>
  </si>
  <si>
    <t>ERZİNCAN İL JANDARMA KOMUTANLIĞI</t>
  </si>
  <si>
    <t>TAPU VE KADASTRO XXIV. (ERZİNCAN) BÖLGE MÜDÜRLÜĞÜ</t>
  </si>
  <si>
    <t>% 90.3</t>
  </si>
  <si>
    <t>% 32.5</t>
  </si>
  <si>
    <t>ERZİNCAN İL ÖZEL İDARESİ</t>
  </si>
  <si>
    <t>ERZİNCAN BELEDİYE BAŞKANLIĞI</t>
  </si>
  <si>
    <t>İLÇELERE GÖRE DEĞERLENDİRME</t>
  </si>
  <si>
    <t>İlçe</t>
  </si>
  <si>
    <t>MUHTELİF İLÇE</t>
  </si>
  <si>
    <t>KEMALİYE</t>
  </si>
  <si>
    <t>MERKEZ</t>
  </si>
  <si>
    <t>REFAHİYE</t>
  </si>
  <si>
    <t>ÇAYIRLI</t>
  </si>
  <si>
    <t>KEMAH</t>
  </si>
  <si>
    <t>İLİÇ</t>
  </si>
  <si>
    <t>TERCAN</t>
  </si>
  <si>
    <t>ÜZÜMLÜ</t>
  </si>
  <si>
    <t>OTLUKBELİ</t>
  </si>
  <si>
    <t>% 33.6</t>
  </si>
  <si>
    <t>33.6 %</t>
  </si>
  <si>
    <t>Turizm</t>
  </si>
  <si>
    <t>Enerji</t>
  </si>
  <si>
    <t>Diğer Kamu Hizmetleri-Sosyal</t>
  </si>
  <si>
    <t>Konut</t>
  </si>
  <si>
    <t>Diğer Kamu Hizmetleri-İktisadi</t>
  </si>
  <si>
    <t>Sağlık</t>
  </si>
  <si>
    <t>Eğitim</t>
  </si>
  <si>
    <t>Tarım</t>
  </si>
  <si>
    <t>Ulaştırma - Haberleşme</t>
  </si>
  <si>
    <t>Proje Sektörü</t>
  </si>
  <si>
    <t>SEKTÖRLERE GÖRE DEĞERLENDİRME</t>
  </si>
  <si>
    <t>TAPU VE KADASTRO XXIV.  BÖLGE MÜD.</t>
  </si>
  <si>
    <t>İL AFET VE ACİL DURUM MÜDÜRLÜĞÜ</t>
  </si>
  <si>
    <t>EBYÜ REKTÖRLÜĞÜ</t>
  </si>
  <si>
    <t>TARIM VE ORMAN BAKANLIĞI 13. BÖLGE MÜD.</t>
  </si>
  <si>
    <t>TÜM KURULUŞLAR 2022</t>
  </si>
  <si>
    <t>%70,04</t>
  </si>
  <si>
    <t>%23,66</t>
  </si>
  <si>
    <t>%93,95</t>
  </si>
  <si>
    <t>ERZİNCAN MERKEZ KIZILAY VE HOCABEY MAHALLELERİ KENTSEL DÖNÜŞÜM ALANINDA 9. KISIM 24 DAİRE (3+1) KONUT YAPIM İŞİ</t>
  </si>
  <si>
    <t>ERZİNCAN MERKEZ KIZILAY VE HOCABEY MAHALLELERİ KENTSEL DÖNÜŞÜM ALANINDA 8. KISIM 42 DAİRE (3+1) KONUT 24 ADET İŞ YERİ YAPIM İŞİ</t>
  </si>
  <si>
    <t>ERZİNCAN MERKEZ KIZILAY VE HOCABEY MAHALLELERİ KENTSEL DÖNÜŞÜM ALANINDA 7. KISIM 6 BLOK 48 DAİRE (3+1) KONUT YAPIM İŞİ</t>
  </si>
  <si>
    <t>ERZİNCAN MERKEZ KIZILAY VE HOCABEY MAHALLELERİ KENTSEL DÖNÜŞÜM ALANINDA 6. KISIM 24 DAİRE (4+1) KONUT VE 12 ADET İŞ YERİ YAPIM İŞİ</t>
  </si>
  <si>
    <t>ERZİNCAN MERKEZ KIZILAY VE HOCABEY MAHALLELERİ KENTSEL DÖNÜŞÜM ALANINDA 5. KISIM 2 BLOK 24 DAİRE (3+1) KONUT VE 12 ADET İŞ YERİ YAPIM İŞİ</t>
  </si>
  <si>
    <t>ERZİNCAN MERKEZ KIZILAY VE HOCABEY MAHALLELERİ KENTSEL DÖNÜŞÜM ALANINDA 4. KISIM 4 BLOK 32 DAİRE (3+1) KONUT YAPIM İŞİ</t>
  </si>
  <si>
    <t>ERZİNCAN MERKEZ KIZILAY VE HOCABEY MAHALLELERİ KENTSEL DÖNÜŞÜM ALANINDA 3. KISIM 4 BLOK 32 DAİRE (3+1) KONUT YAPIM İŞİ</t>
  </si>
  <si>
    <t>ERZİNCAN MERKEZ KIZILAY VE HOCABEY MAHALLELERİ KENTSEL DÖNÜŞÜM ALANINDA 3. KISIM 1 BLOK 16 DAİRE (2+1) KONUT YAPIM İŞİ</t>
  </si>
  <si>
    <t>ERZİNCAN MERKEZ KIZILAY VE HOCABEY MAHALLELERİ KENTSEL DÖNÜŞÜM ALANINDA 2. KISIM 4 BLOK 32 DAİRE (3+1) KONUT YAPIM İŞİ</t>
  </si>
  <si>
    <t>ERZİNCAN MERKEZ KIZILAY VE HOCABEY MAHALLELERİ KENTSEL DÖNÜŞÜM ALANINDA 2. KISIM 2 BLOK 32 DAİRE (2+1) KONUT YAPIM İŞİ</t>
  </si>
  <si>
    <t>ERZİNCAN MERKEZ KIZILAY VE HOCABEY MAHALLELERİ KENTSEL DÖNÜŞÜM ALANINDA 2. KISIM 2 BLOK 16 DAİRE (4+1) KONUT YAPIM İŞİ</t>
  </si>
  <si>
    <t>ERZİNCAN MERKEZ KIZILAY VE HOCABEY MAHALLELERİ KENTSEL DÖNÜŞÜM ALANINDA 1 BLOK (2+1) KONUT YAPIM İŞİ</t>
  </si>
  <si>
    <t>ÜLKÜ SPOR KOMPLEKSİ YENİLEME PROJESİ</t>
  </si>
  <si>
    <t>ERZİNCAN MERKEZ YENİ SANAYİ SİTESİ A VE B BLOK İŞYERİ YAPIM İŞİ</t>
  </si>
  <si>
    <t>ERZİNCAN BELEDİYESİ MUHTELİF MAHALLELERDE SEL FELAKETİNDEN DOLAYI ZARAR GÖREN ADRESLERDE İÇME SUYU HAT YAPIM İŞİ.</t>
  </si>
  <si>
    <t>ERZİNCAN BELEDİYESİ MUHTELİF MAHALLELERDE KANALİZASYON HATTI YAPIM İŞİ</t>
  </si>
  <si>
    <t>ERZİNCAN MERKEZ KIZILAY VE HOCABEY MAHALLELERİ KENTSEL DÖNÜŞÜM PROJESİ KAMULAŞTIRMA</t>
  </si>
  <si>
    <t>Proje Adı</t>
  </si>
  <si>
    <t>BELEDİYE BAŞKANLIĞI</t>
  </si>
  <si>
    <t>YAYIN ALIMI</t>
  </si>
  <si>
    <t>MÜHENDİSLİK FAKÜLTESİ LABORATUVAR BİNASI YAPIM İŞİ</t>
  </si>
  <si>
    <t>MUHTELİF İŞLER</t>
  </si>
  <si>
    <t>KAMPÜS ALT YAPISI-(EBYÜ YALNIZBAĞ YERLEŞKESİ ÇEVRE YOLU, ÇEVRE DUVARI VE ALT YAPI YAPIM İŞİ)</t>
  </si>
  <si>
    <t>İKTİSADİ İDARİ BİLİMLE FAKÜLTESİ BİNASI YAPIM İŞİ</t>
  </si>
  <si>
    <t>ERZİNCAN ÜNİVERSİTESİ BEDEN EĞİTİMİ SPOR YÜKSEKOKULU VE ANTRENMAN SALONLARI BİNASI YAPIM İŞİ</t>
  </si>
  <si>
    <t>ERZİNCAN BİNALİ YILDIRIM ÜNİVERSİTESİ REKTÖRLÜK KONUT BİNASI</t>
  </si>
  <si>
    <t>ÇEŞİTLİ ÜNİTELERİN ETÜT PROJESİ</t>
  </si>
  <si>
    <t>AÇIK VE KAPALI SPOR TESİSLERİ</t>
  </si>
  <si>
    <t>İlçe Adı</t>
  </si>
  <si>
    <t xml:space="preserve"> ERZİNCAN BİNALİ YILDIRIM ÜNİVERSİTESİ REKTÖRLÜĞÜ</t>
  </si>
  <si>
    <t>ÜZÜMLÜ PİŞKİDAĞ SULAMA KANALI PROJE BEDELİİŞİ.</t>
  </si>
  <si>
    <t>ÜZÜMLÜ KARAKAYA ÇERMİK SULAMA TESİSİ TADİLATI</t>
  </si>
  <si>
    <t>ÜZÜMLÜ İLÇESİ KÖYLERİNDE CEM EVLERİ TADİLATI</t>
  </si>
  <si>
    <t>ÜZÜMLÜ İLÇESİ KARAKAYA KÖYÜ ÇERMİK MEVKİİ EK ŞEBEKE HATTI YAPIMI</t>
  </si>
  <si>
    <t>REFAHİYE YURTBAŞI KÖYÜ KANALİZASYON VE İÇMESUYU ŞEBEKESİ VE 500 KİŞİL FOSEPTİK YAPIMI</t>
  </si>
  <si>
    <t>REFAHİYE KOCAÇAYDERESİ EK REGRASYON PROJESİ</t>
  </si>
  <si>
    <t>REFAHİYE KANDİL KÖYÜ İSALE HATTI İŞİ</t>
  </si>
  <si>
    <t>PİŞKİDAĞ KÖYÜ TAZİYE EVİ TADİLATI (ESKİ OKUL BİNASI)</t>
  </si>
  <si>
    <t>MERKEZ KÜÇÜKÇAKIRMAN KÖYÜ SULAMA KANALI BORULU SİSTEM</t>
  </si>
  <si>
    <t>MERKEZ ÇATALÖREN İÇMESUYU İKMAL İNŞAATI</t>
  </si>
  <si>
    <t>MERKEZ ÇATALÖREN DEBİ ÖLÇÜM RÖGAR YAPIMI</t>
  </si>
  <si>
    <t>MERKEZ ÇATALÖREN DEBİ ÖLÇÜM CİHAZI ALIMI</t>
  </si>
  <si>
    <t>MERKEZ 59.TOPÇU TUGAYI POLİGON BİRLİĞİ MOTOPOMP ALIMI</t>
  </si>
  <si>
    <t>MERKEZ (4İŞ) KONAKBAŞI,ORTAYURT,ULUKÖY,ÜREK SULAMA KANALI YAPIMI</t>
  </si>
  <si>
    <t>KEMAH (3İŞ) ÇAKIRLAR, KONUKSEVER VE KARACALAR KÖYLERİ YOL STABİLİZE YAPIMI</t>
  </si>
  <si>
    <t>KEMAH (3 İŞ) ÇALIKLAR YOLU GÜZERGAH DEĞİŞİKLİĞİ,KAYABAŞI BALKAYA MEZ. VE CORDAR MEV. KÖY YOLU KUMLAMA ONARIM</t>
  </si>
  <si>
    <t>KARAKAYA KÖYÜ EK KİLİT PARKE YAPIMI</t>
  </si>
  <si>
    <t>İLİÇ İLCE HÜKÜMET KONAĞI YAPIM İŞİ.</t>
  </si>
  <si>
    <t>HARMANTEPE KÖYÜ İSALE HATTI YAPIM İŞİ.</t>
  </si>
  <si>
    <t>ERZİNCAN(4 İŞ) MERKEZ BALTAŞI,AYDOĞDU-OĞLAKTEPE-GÜMÜŞTARLA İÇME SUYU KAPTAJ ONARIMI</t>
  </si>
  <si>
    <t>ERZİNCAN(3İŞ) MERKEZ KARATUŞ KANALİZASYON ŞEBEKE DEĞ.,DEĞİRMENLİ-YALINCA İÇMESUYU KAPTAJ ONARIMI,GÖYNE KÖYÜ İSHALE HATTI DEĞİŞİMİ</t>
  </si>
  <si>
    <t>ERZİNCAN(2İŞ) REFAHİYE ULUCAK KÖYÜ KAPTAJ YAPIMI YURTBAŞI KÖYÜ KANALİZASYON YAPIMI</t>
  </si>
  <si>
    <t>ERZİNCAN(2İŞ) OTLUKBELİ AĞAMÇAM İSALE HATTI YAPIMI VE ÖRDEKHACI KÖYÜ KAPTAJ VE DRENEAJ YAPIMI</t>
  </si>
  <si>
    <t>ERZİNCAN(2İŞ) KEMAH ULUÇINAR VE AĞAÇSARAY KÖYLERİ İÇME SUYU DEPOSU YAPIM İŞİ</t>
  </si>
  <si>
    <t>ERZİNCAN(2İŞ) KEMAH KUTLUOVA VE ESİMLİ KÖYLERİ İÇME SUYU TESİSİ YAPIMI</t>
  </si>
  <si>
    <t>ERZİNCAN(2İŞ) KEMAH HAKBİLİR VE KÜPLÜ KÖYÜ SULAMA KANALI YAPIMI</t>
  </si>
  <si>
    <t>ERZİNCAN(20 İŞ) KEMALİYE MUHTELİF KÖYLER BORU ALIMI</t>
  </si>
  <si>
    <t>ERZİNCAN ÜZÜMLÜ PİŞKİDAĞ GRUP YOLU ONARIMI</t>
  </si>
  <si>
    <t>ERZİNCAN ÜZÜMLÜ KARAKAYA VE BAYIRBAĞ KÖYİÇİ KİLİT PARKE YAPIMI İŞİ(2 İŞ)</t>
  </si>
  <si>
    <t>ERZİNCAN ÜZÜMLÜ KARAKAYA KÖYÜ(ÇINARLI MH.) İÇME SUYU ŞEBEK HATTI YAPIMI</t>
  </si>
  <si>
    <t>ERZİNCAN ÜZÜMLÜ KARAKAYA KÖYÜ EK İÇME SUYU ŞEBEKE YAPIMI</t>
  </si>
  <si>
    <t>ERZİNCAN ÜZÜMLÜ GÖLLER KÖYÜ İÇME SUYU EK ŞEBEKE HATTI İŞİ</t>
  </si>
  <si>
    <t>ERZİNCAN ÜZÜMLÜ BAYIRBAĞ KÖYİÇİ KİLİT PARKE YAPIMI</t>
  </si>
  <si>
    <t>ERZİNCAN TERCAN MERCAN PLENTİNE AGREGA ALIMI</t>
  </si>
  <si>
    <t>ERZİNCAN TERCAN KIZILCA KÖY YOLU BSK YAPIMI</t>
  </si>
  <si>
    <t>ERZİNCAN TERCAN KALECİK KÖYÜ İSTİNAT DUVARI YAPIMI</t>
  </si>
  <si>
    <t>ERZİNCAN TERCAN ASFALT PLANTİNE 800 TON 50/70 BİTÜM ALIMI</t>
  </si>
  <si>
    <t>ERZİNCAN REFAHİYE ŞAHALOĞLU/BAKACAK KÖYÜ GRUP YOLU ASFALT YAPIMI</t>
  </si>
  <si>
    <t>ERZİNCAN REFAHİYE SALUR KÖYÜ KAPTAJ,İÇE SUYU DRENAJ YAPIMI VE YAYLABELİ DRENAJ YAPIMI</t>
  </si>
  <si>
    <t>ERZİNCAN REFAHİYE PINARYOLU,TUZLUÇAYIR,GAZİPINAR,ÇAMLIMÜLK KİLİT PARKE İŞİ(5 İŞ)</t>
  </si>
  <si>
    <t>ERZİNCAN REFAHİYE PINARYOLU KÖYİÇİ YOL KENARI KANAL YAPIMI</t>
  </si>
  <si>
    <t>ERZİNCAN REFAHİYE ÖREN KÖYÜ KİLİT PARKE YAPIMI</t>
  </si>
  <si>
    <t>ERZİNCAN REFAHİYE MUHTELİF KÖYLER 2.KAT ASFALT İŞİ(6 İŞ)</t>
  </si>
  <si>
    <t>ERZİNCAN REFAHİYE MERKEZ KALKANCI GÖLET YOLU (TURİZM YOLU) 1KM SATİ KAPLAMA İŞİ</t>
  </si>
  <si>
    <t>ERZİNCAN REFAHİYE KIRIKTAŞ KÖYÜ 1.KAT ASFALT YAPIMI</t>
  </si>
  <si>
    <t>ERZİNCAN REFAHİYE GÜVENTEPE/ARDIÇLIKK GRUP YOLU 1.KAT ASFALT YAPIMI</t>
  </si>
  <si>
    <t>ERZİNCAN REFAHİYE EKECEK-KEÇEGÖZ-DOĞANDERE GRUP YOLU BSK YAPIMI</t>
  </si>
  <si>
    <t>ERZİNCAN REFAHİYE DUMANLI ZİPLİNE,MACERA PARKI YAPIMI</t>
  </si>
  <si>
    <t>ERZİNCAN OTLUKBELİ UMURLU KÖYÜ DRENAJ, KAPTAJ, ÇEŞME İÇME SUYU İSALE HATTI VE DEPO YAPIMI</t>
  </si>
  <si>
    <t>ERZİNCAN OTLUKBELİ SOSYAL TESİSLERİ MALZEME ALIMI(BOĞAZLI, AVCIÇAYIRI, YEŞİLBÜK, ÖRDEKHACI)</t>
  </si>
  <si>
    <t>ERZİNCAN OTLUKBELİ ÖRDEKHACI KÖYÜ MEZARLIK DUVARI</t>
  </si>
  <si>
    <t>ERZİNCAN OTLUKBELİ MUHTELİF KÖYLER CAMİ BAKIM ONARIM VE MEZARLIK DUVARI YAPIM İŞİ(2 İŞ)</t>
  </si>
  <si>
    <t>ERZİNCAN OTLUKBELİ KARADİVAN/BÖLÜKOVA KÖYLERİ YOLU SEL TEMİZLEMESİ</t>
  </si>
  <si>
    <t>ERZİNCAN OTLUKBELİ KARADİVAN KÖYÜBORU</t>
  </si>
  <si>
    <t>ERZİNCAN OTLUKBELİ BOĞAZLI KÖYÜ KÖY KONAĞI VE CEMEVİ ONARIMI</t>
  </si>
  <si>
    <t>ERZİNCAN MERKEZ(4İŞ) AYDOĞDU,OĞLAKTEPE,GÜMÜŞTARLA CEVİZLİ KÖYÜ SULAMA KANALI</t>
  </si>
  <si>
    <t>ERZİNCAN MERKEZ KÖYLER İÇMESUYU GES YAPIMI</t>
  </si>
  <si>
    <t>ERZİNCAN MERKEZ GÖYNE KÖYÜ KİLİT PARKE YAPIM İŞİ (EK PROGRAM)</t>
  </si>
  <si>
    <t>ERZİNCAN MERKEZ ELMAKÖYÜ İÇME SUYU SONDAJI İÇİN GES YAPIMI</t>
  </si>
  <si>
    <t>ERZİNCAN MERKEZ EKMEKLİ KÖYÜ BSK YAPIMI 800M, YEŞİLÇAY KÖYÜ BSK YAPIMI</t>
  </si>
  <si>
    <t>ERZİNCAN MERKEZ BİNKOÇ KÖYÜ BSK ASFALT YAPIMI (EK PROGRAM)</t>
  </si>
  <si>
    <t>ERZİNCAN KEMELİYE BAŞARI-ASLANOBA-DOLUNAY YOLU 1.KAT ASFALT</t>
  </si>
  <si>
    <t>ERZİNCAN KEMALİYE TUĞLU KÖYÜ İSTİNAT DUVARI</t>
  </si>
  <si>
    <t>ERZİNCAN KEMALİYE TOYBELEN KÖYÜ İÇME SUYU DEPO ONARIMI</t>
  </si>
  <si>
    <t>ERZİNCAN KEMALİYE OCAK KÖYYOLU BSK YAPIMI</t>
  </si>
  <si>
    <t>ERZİNCAN KEMALİYE MUHTELİF KÖYLER SOSYAL TESİS ONARIMI,MEZARLIK İHATASI,KÖY KONAĞI YAPIMI,KÖY KONAĞI ONARIMI(12 İŞ)</t>
  </si>
  <si>
    <t>ERZİNCAN KEMALİYE KEMALİYE-ÇEMİŞGEZEK YOL AYRIMI,BAŞBAĞLAR JANDARMA KARAKOLU ARASI GRUP YOLU2. KISIM HARFİYAT İŞLERİ</t>
  </si>
  <si>
    <t>ERZİNCAN KEMALİYE KARAPINAR KÖYÜ 30 M3 DEPO YAPIMI</t>
  </si>
  <si>
    <t>ERZİNCAN KEMALİYE İLÇESİ ÇEMİŞGEZEK YOL AYRIMI-BAŞBAĞLAR JANDARMA KARAKOLU ARASI GRUP YOLU BSK ASFALT YAPIM İŞİ</t>
  </si>
  <si>
    <t>ERZİNCAN KEMALİYE GÜLDİBİ İSALE HATTI YAPIMI</t>
  </si>
  <si>
    <t>ERZİNCAN KEMALİYE ESENCE KÖYÜ SULAMA ŞEBEKE ONARIMI</t>
  </si>
  <si>
    <t>ERZİNCAN KEMALİYE DİLLİ KÖYÜ KANALİZASYON TAMAMLAMA</t>
  </si>
  <si>
    <t>ERZİNCAN KEMALİYE BOYLU KÖYÜ İÇME SUYU TESİSİ YAPIMI</t>
  </si>
  <si>
    <t>ERZİNCAN KEMALİYE AKSÖĞÜT FOSEPTİK YAPIMI</t>
  </si>
  <si>
    <t>ERZİNCAN KEMALİYE AKÇALI KÖYÜ 50 M3 DEPO YAPIMI</t>
  </si>
  <si>
    <t>ERZİNCAN KEMAH YÜCEBELEN KÖYÜ ERİÇ KARAKOLU İÇME SUYU TESİSİ İNŞATI YAPIMI</t>
  </si>
  <si>
    <t>ERZİNCAN KEMAH TUZLAKÖYÜ-YAĞCA KÖYÜ 50 M3 DEPO YAPIMI</t>
  </si>
  <si>
    <t>ERZİNCAN KEMAH TANDIRBAŞI KÖYÜ SULAMA TESİSİ YAPIMI</t>
  </si>
  <si>
    <t>ERZİNCAN KEMAH OLUKPINAR KÖYÜ AKSAKAL MEZ. İÇME SUYU TESİSİ YAPIMI</t>
  </si>
  <si>
    <t>ERZİNCAN KEMAH OĞUZKÖYÜ SULAMA HAVUZU ONARIMI</t>
  </si>
  <si>
    <t>ERZİNCAN KEMAH MUHTELİF KÖYLER İÇME SUYU DEPO ONARIMI(4 İŞ)</t>
  </si>
  <si>
    <t>ERZİNCAN KEMAH MUHTELİF KÖYLER ASFALT ONARIMI(9 KÖY, İŞ)</t>
  </si>
  <si>
    <t>ERZİNCAN KEMAH KERER KÖYÜ KİLİT PARKE ALIMI</t>
  </si>
  <si>
    <t>ERZİNCAN KEMAH KERER KÖYÜ İÇME SUYU DRENAJ YAPIMI</t>
  </si>
  <si>
    <t>ERZİNCAN KEMAH KARDERE KÖYÜ SULAMA TESİSİ YAPIMI</t>
  </si>
  <si>
    <t>ERZİNCAN KEMAH İLÇESİ MUHTELİF KÖYLER BORU ALIMI</t>
  </si>
  <si>
    <t>ERZİNCAN KEMAH İLÇESİ MUHTELİF KÖYLER ASFALT ONARIMI(10 İŞ)</t>
  </si>
  <si>
    <t>ERZİNCAN KEMAH İLÇESİ KAZANKAYA KÖYÜ SULAMA KANALI( İŞ)</t>
  </si>
  <si>
    <t>ERZİNCAN KEMAH İLÇESİ KARACALAR KÖYÜ KANALİZASYON YAPIMI</t>
  </si>
  <si>
    <t>ERZİNCAN KEMAH İLÇESİ ÇAKIRLAR KÖYÜ KÖY İÇİ İSHALE HATTI YAPIMI</t>
  </si>
  <si>
    <t>ERZİNCAN KEMAH İLÇESİ BOZOĞLAK KÖYÜ İSHALE HATTI</t>
  </si>
  <si>
    <t>ERZİNCAN KEMAH İLÇESİ ALP KÖYÜ KİLİT PARKE YAPIMI</t>
  </si>
  <si>
    <t>ERZİNCAN KEMAH ELMALI KÖYÜ YOLU BSK YAPIMI</t>
  </si>
  <si>
    <t>ERZİNCAN KEMAH DİKYAMAÇ KÖYÜVE KÖMÜR KÖYÜ İÇME SUYU TESİSİ YAPIMI</t>
  </si>
  <si>
    <t>ERZİNCAN KEMAH ÇİĞDEMLİKÖYÜ SULAMA KANALI YAPIMI</t>
  </si>
  <si>
    <t>ERZİNCAN KEMAH BOZOĞLAK KÖYÜ İÇME SUYU BORU ALIMI</t>
  </si>
  <si>
    <t>ERZİNCAN KEMAH AKTAŞ KÖYÜ SULAMA HAVUZU YAPIMI</t>
  </si>
  <si>
    <t>ERZİNCAN KAMAH MERMERLİ KÖYÜ KİLİT PARKE YAPIMI</t>
  </si>
  <si>
    <t>ERZİNCAN İLİÇ LEVENTPINAR KÖYÜ SULAMA KANALI VE SULAMA HAVUZU YAPIMI</t>
  </si>
  <si>
    <t>ERZİNCAN İLİÇ KUZKIŞLA İSTİNAT DUVAR YAPIMI</t>
  </si>
  <si>
    <t>ERZİNCAN İLİÇ KOZLUCA KÖYÜ İÇME SUYU VE KANAZLİZASYON HATTI ONARIMI</t>
  </si>
  <si>
    <t>ERZİNCAN İLİÇ K.ARMUTLU SULAMA KANALI VE SULAMA HAVUZU YAPIMI</t>
  </si>
  <si>
    <t>ERZİNCAN İLİÇ BALKAYA VE SABIRLI İSLAMKÖY KÖYÜ KANALİZASYON VE FOSEPTİK YAPIMI(3 İŞ)</t>
  </si>
  <si>
    <t>ERZİNCAN İLİÇ ASFALT PLENTİNE 25000TON AGREGA TEMİNİ</t>
  </si>
  <si>
    <t>ERZİNCAN GÜMÜŞTARLA KÖYÜ 1KM BSK YAPIMI</t>
  </si>
  <si>
    <t>ERZİNCAN ÇAYRLI İLÇESİ BALIKLI KÖYÜ KÖY İÇİ İSHALE HATTI YAPIMI(2 İŞ)</t>
  </si>
  <si>
    <t>ERZİNCAN ÇAYIRLI YUKARI ÇAMURDERE KÖYÜ SULAMA TESİSİ YAPIMI</t>
  </si>
  <si>
    <t>ERZİNCAN ÇAYIRLI YAZIKAYA KÖYÜ KİLİT PARKE YAPIM İŞİ</t>
  </si>
  <si>
    <t>ERZİNCAN ÇAYIRLI TURNAÇAYIRI MENFEZ YAPIMI</t>
  </si>
  <si>
    <t>ERZİNCAN ÇAYIRLI MİRZAOĞLU İÇME SUYU HATTI YAPIM İŞİ</t>
  </si>
  <si>
    <t>ERZİNCAN ÇAYIRLI İLÇESİ YAZIKAYA KÖYÜ CAMİ ÇEVRE DÜZENLEMESİ</t>
  </si>
  <si>
    <t>ERZİNCAN ÇAYIRLI İLÇESİ VERİMLİKÖYÜ İMAMEVİ TADİLATI</t>
  </si>
  <si>
    <t>ERZİNCAN ÇAYIRLI İLÇESİ TOSUNLAR KÖYÜ MEZARLIK DUVARI YAPIMI</t>
  </si>
  <si>
    <t>ERZİNCAN ÇAYIRLI İLÇESİ HASTARLA,BOYBEYİ,ÇAYÖNÜ KÖYÜ AŞEVİ YAPIMI(3 İŞ)</t>
  </si>
  <si>
    <t>ERZİNCAN ÇAYIRLI İLÇESİ DOĞANYUVA KÖYÜ KÖY KONAĞI YAPIMI</t>
  </si>
  <si>
    <t>ERZİNCAN ÇAYIRLI İLÇESİ ÇATAKSU BORU ALIMI</t>
  </si>
  <si>
    <t>ERZİNCAN ÇAYIRLI İLÇESİ CENNETPINAR,SARAYCIK,GELİNPIAR,BÖLÜKOVA,SARIGÜNEY KÖYÜ KÖY KONAĞI TADİLATI(5 İŞ)</t>
  </si>
  <si>
    <t>ERZİNCAN ÇAYIRLI İLÇESİ BAŞKÖY KÖY İÇİ SULAMA KANALI YAPIMI</t>
  </si>
  <si>
    <t>ERZİNCAN ÇAYIRLI EŞMEPINAR KÖYÜ DEPO ONARIMI(2 İŞ)</t>
  </si>
  <si>
    <t>ERZİNCAN ÇAYIRLI BÜYÜKYAYLA KÖYÜ MENFEZ YAPIMI</t>
  </si>
  <si>
    <t>ERZİNCAN 3(İŞ) MERKEZ ÇUKURKUYU,YEŞİLÇAY,YALNIZBAĞ SULAMA KANAL YAPIMI</t>
  </si>
  <si>
    <t>ERZİNCAN (6 İŞ)TERCAN AKYURT,BEŞGÖZE,ÇUKURYURT,MUSTAFABEY,SARIKAYA KÖY KONAKLARI YAPIMI VE ÇALKIŞLA KÖYÜ CAMİ ONARIMI</t>
  </si>
  <si>
    <t>ERZİNCAN (5 İŞ) TERCAN MUHTELİF KÖYLER KUMLAMA VE ONARIM, GÜZERGAH DEĞİŞİMİ,YOL PLATFORM GENİŞLETİLMESİ</t>
  </si>
  <si>
    <t>ERZİNCAN (4İŞ)REFAHİYE BOSTANDERE,KONAKKÖY,RESULLER, YAYLAPINAR KÖYÜ ASFALT ONARIMI</t>
  </si>
  <si>
    <t>ERZİNCAN (3İŞ)REFAHİYE YILDIZÖREN,TUZLAKONAĞ(AKARSU,KÜRELİK)-ALAÇAYIR,LALELİ KÖYLERİ KİLİT PARKE İŞİ</t>
  </si>
  <si>
    <t>ERZİNCAN (3İŞ)REFAHİYE GÖKSEKİ,ÇATALÇAM,SIRALI KÖYLERİ İÇME SUYU YAPIMI</t>
  </si>
  <si>
    <t>ERZİNCAN (3İŞ)ÇAYIRLI SARAYCIK,SAYGILI AŞAĞIÇAMURDERE GRUP KÖYLERİ İSALE HATTI YAPIMI</t>
  </si>
  <si>
    <t>ERZİNCAN (3İŞ) MERKEZ BAHÇELİKÖY, BAHÇEYAZI, EKMEKLİ KÖYÜ SULAMA KANALI YAPIMI</t>
  </si>
  <si>
    <t>ERZİNCAN (3İŞ) KEMALİYE AVCI,KIŞLACIK,YEŞİLYAMAÇ KÖYÜ İÇME SUYU DEPO ONARIMI</t>
  </si>
  <si>
    <t>ERZİNCAN (3 İŞ)OTLUKBELİ AĞAMÇAĞAM ,AVCIÇAYIRI KÖYÜ KUMLAMA VE KARADİVAN KÖY YOLU BAKIM ONARIMI</t>
  </si>
  <si>
    <t>ERZİNCAN (29 İŞ)TERCAN MUHTELİF KÖYLER KİLİT PARKE İŞİ</t>
  </si>
  <si>
    <t>ERZİNCAN (16 İŞ)TERCAN MUHTELİF KÖYLER CAMİ ONARIMI,KÖY KONAĞI ONARIMI,KÖY KONAĞI YAPIMI,MEZRALIK ETRAFININ ÇEVRİLMESİ</t>
  </si>
  <si>
    <t>ERZİNCAN (16 İŞ)İLİÇ İLÇESİ MUHTELİF KÖYLER KÖY SOSYAL TESİS GELİŞTİRME İŞİ</t>
  </si>
  <si>
    <t>ERZİNCAN (13 İŞ)KEMAH MUHTELİF KÖYLER SOSYAL TESİSLERİNE YAPILAN YARDIMLAR</t>
  </si>
  <si>
    <t>ERZİNCAN (12 İŞ)TERCAN MUHTELİF KÖYLER KUMLAMA VE ONARIM, GÜZERGAH DEĞİŞİMİ,YOL PLATFORM GENİŞLETİLMESİ</t>
  </si>
  <si>
    <t>ERZİNCAN (10 İŞ) REFAHİYE MUHTELİF KÖYLERDE YOL GENİŞLETME,STABİLİZE,ONARIM,MALZEMELİ BAKIM,ASFALT YAMA YAPIMI</t>
  </si>
  <si>
    <t>DAP PROJESİ ÜZÜMLÜ MERKEZ SULAMA KANALI YAPIM İŞİ.</t>
  </si>
  <si>
    <t>DAP PROJESİ ALAÇAYIR KÖYÜ SULAMA KANALI YAPIM İŞİ.</t>
  </si>
  <si>
    <t>DAP ERZİNCAN ÜZÜMLÜ KARAKAYA-SAZTEPE KÖYLERİ SULAMA TESİS YAPIMI(2 İŞ)</t>
  </si>
  <si>
    <t>DAP ERZİNCAN TERCAN BALYAYLA SULAMA TESİSİ YAPIMI</t>
  </si>
  <si>
    <t>DAP ERZİNCAN KEMAH YÜCEBELEN KÖYÜ SULAMA TESİSİ YAPIMI</t>
  </si>
  <si>
    <t>DAP ERZİNCAN ÇAYIRLI YAZIKAYA KÖYÜ İÇME SUYU HATTI YAPIMI</t>
  </si>
  <si>
    <t>ÇAYIRLIÇAYIRLI OZANLI KÖYÜ BABANIN ŞENLİĞİ MEZ. İÇME SUYU İSALE HATTI YAPIMI</t>
  </si>
  <si>
    <t>ÇAYIRLI TURNAÇAYIRI KÖYÜ İÇME SUYU İSALE HATTI YAPIMI</t>
  </si>
  <si>
    <t>ÇAYIRLI ÇAYKENT SULAMA KANALI</t>
  </si>
  <si>
    <t>ÇATALÖREN KÖYÜ İÇME SUYU ÇALIŞMALARI.</t>
  </si>
  <si>
    <t>AYDOĞDU KÖYÜ 100 TONLUK SU DEPOSU YAPIMI</t>
  </si>
  <si>
    <t>(7 İŞ)TERCAN KÜLLÜÇE, DALLICA, ÇAYIRDÜZÜ YALINKAŞ, GÖKPINAR, KIZILCA VE KURUKOL KÖYLERİ KİLİT PARKE İŞİ(7İŞ)</t>
  </si>
  <si>
    <t>(6İŞ)ERZİNCAN TERCAN ESENEVLER ÇİFTELER MEZ. ÇATAKDERE,YAYLIM/İSA MEZRASI,İKİZLER, ÇALKIŞLA YOLLUCA MEZ.TEPEBAŞI İSALE , İÇME SUYU,KAPTAJ,DEPO YAPIMI</t>
  </si>
  <si>
    <t>(6İŞ) TERCAN GÖKTAŞ,ÇALKIŞLA /BAHÇECİK MEZ. GEVENLİK,KIZILCA,BULMUŞ,ORTAKÖY KAPTAJ,DRENAJ,İSALE HATTI YAPIMI</t>
  </si>
  <si>
    <t>(6 İŞ)ERZİNCAN MERKEZ GANİEFENDİ ÇİFLİĞİ,ILIDERE,YALINCA,TATLISU,KILIÇKAYA VE YEŞİLÇAY KÖYLERİ KİLİT PARKE YAPIMI</t>
  </si>
  <si>
    <t>(5İŞ) ERZİNCAN REFAHİYE TOPAĞAÇKÖYÜ GES SİSTEMLİ İÇMESUYU TESİSİ</t>
  </si>
  <si>
    <t>(5 İŞ) ERZİNCAN KEMAH İLÇESİ ,CEVİZLİK,MURATBOYNU İÇME SUYU DEPOSU YAPIMI</t>
  </si>
  <si>
    <t>(5 İŞ) ERZİNCAN İLİÇ DOSTAL AĞILDERE DORUKSARAY GÜNGÖREN ORTATEPE KÖYLERİ İÇME SUYU DEPO YAPIMI</t>
  </si>
  <si>
    <t>(4İŞİ)ERZİNCAN ÜZÜMLÜ K.SARIKAYA PİŞKİDAĞ GÖLLER ÇARDAKLI İÇME SUYU İSALE HATTI YAPIMI</t>
  </si>
  <si>
    <t>(4İŞ)ERZİNCAN ÜZÜMLÜ PİSKİDAĞ KARAKAYA BAYIRBAĞ VE AVCILAR KANALİZASYON BAKIM ONARIM İŞİ(4 İŞ)</t>
  </si>
  <si>
    <t>(4İŞ) ERZİNCAN REFAHİYE MENDEMEBAŞI/GÖMÜ MEZRASI 10 M3 DEPO,TOPAĞAÇKÖYÜ İSALE HATTI,ULUDEREKÖYÜ İSALE HATTI,YILDIZÖRENKÖYÜ 30TON DEPO YAPIMI İŞLERİ</t>
  </si>
  <si>
    <t>(4 İŞ)MERKEZ KİLİMLİ BİNKOÇ BEYBAĞI SOĞUKOLUK SULAMA TESİSİ İNŞAATI</t>
  </si>
  <si>
    <t>(4 İŞ) MERKEZ AYDOĞDU-OĞLAKTEPE-GÜMÜŞTARLA GRUBU İSALE HATTI, TANDIRLI CAFERLİ KÖYLERİ ŞEBEKE YAPIMI,AĞILÖZÜ KÖYÜ İSHALE HATTI VE 75 TONLUK N YAPIMI</t>
  </si>
  <si>
    <t>(3İŞ) ERZİNCAN REFAHİYE ÇALTI KÖYÜ 20M3,GÜLENSUYU KÖYÜ MENGÜCE MEZ. İSALE HATTI ,ARPAYAZI KÖYÜ TAŞDİBİ MEZ. 10M3 DEPO YAPIMI</t>
  </si>
  <si>
    <t>(3İŞ) ERZİNCAN KEMALİYE İLÇESİ KIZILÇUKUR 50 TONLUK İÇMESUYU GÜMÜŞÇEŞME İÇMESUYU DEPO ŞEBEKE YAPIMI YEŞİLYAYLA 30M3 İÇMESUYU DEPOSU(3 İŞ)</t>
  </si>
  <si>
    <t>(3 İŞ)ERZİNCAN MERKEZ PINARÖNÜ,GÜNEBAKAN VE BALLI KÖYLERİ KİLİT PARKE YAPIM İŞİ (EK PROĞRAM)</t>
  </si>
  <si>
    <t>(3 İŞ) ERZİNCAN ÜZÜMLÜ ÇARDAKLI KÖYÜ DÜZALTI MEZRASI,ÇAYIRYAZI KÖYÜ VE BAĞLAR KÖYÜ ÇUKOLAR MEZRASI DEPO YAPIMI</t>
  </si>
  <si>
    <t>(3 İŞ) ERZİNCAN KEMALİYE MUHTELİF KÖYLER YANGIN SÖNDÜRME İŞİ</t>
  </si>
  <si>
    <t>(3 İŞ) ERZİNCAN KEMALİYE MUHTELİF KÖYLER ÇÖP İMHA ÇUKURU YAPIMI</t>
  </si>
  <si>
    <t>(3 ADET İŞ) APÇAAĞA-DOLUNAY-YAYLADAMI KÖYÜ İÇME SUYU DEPO YAPIM VE ONARIM İŞİ.</t>
  </si>
  <si>
    <t>(2İŞ)TERCAN KALECİK,BAŞBUDAK KÖYÜ İSALE HATTI VE ŞEBEKE YAPIMI</t>
  </si>
  <si>
    <t>(2İŞ)REFAHİYE YAZIGEDİĞİ KANALİZASYON YAPIMI, PERÇEM KÖYÜ KANALİZASYON MALZ. ALIMI.</t>
  </si>
  <si>
    <t>(2İŞ)KEMAH ÖZDAMAR VE GÖLKAYNAK KÖYÜ GİNDİRA MEZ. İÇME SUYU TESİSİ YAPIMI</t>
  </si>
  <si>
    <t>(2İŞ)ERZİNCAN ÜZÜMLÜ MERKEZ SULAMATESİSİ VE BASINÇLI SULAMA KANALI ONARIMI İŞİ</t>
  </si>
  <si>
    <t>(2İŞ) TERCAN YALINKAŞ KÖYÜ VE GÖKÇE KÖYÜ İÇMESUYU GES TERFİLİ SONDAJ YAPIMI</t>
  </si>
  <si>
    <t>(2İŞ) TERCAN KURUKOL,YALINKAŞ KÖYÜ KANALİZASYON TADİLATI VE FOSEPTİK TAMAMLAMA</t>
  </si>
  <si>
    <t>(2İŞ) TERCAN KONARLI-KARABAŞLAR-PENCERİK-SOMALI MEZ. VE YAYLIM GÖLLÜCE MZÇ İSALE HATTI YAPIMI VE İÇMESUYU VE DEPO ONARIMI</t>
  </si>
  <si>
    <t>(2İŞ) REFAHİYE YUVADAĞI, ÇAT KÖYÜ İSALE HATTI YAPIMI</t>
  </si>
  <si>
    <t>(2İŞ) MERKEZ SELDEN ZARAR GÖREN SULAMA TESİS ONARIMI ÇİMENTO ALIMI VE SULAMA BORUSU ALIMI</t>
  </si>
  <si>
    <t>(2İŞ) MERKEZ GÖLPINARI VE PINARÖNÜ İÇMESUYUVE ENH YAPIMI</t>
  </si>
  <si>
    <t>(2İŞ) ERZİNCAN KEMAH TAŞBULAK KÖYÜ VE HAKBİLİR KÖYÜ DOLMABAHÇE MEZ. İÇME SUYU TESİSİ YAPIMI</t>
  </si>
  <si>
    <t>(2İŞ) ERZİNCAN İLİÇ DOLUGÜN KÖYÜ İSALE HATTI YAPIMI VE TABANLI KÖYÜ ŞEBEKE YAPIMI</t>
  </si>
  <si>
    <t>(2 İŞ)ERZİNCAN KEMALİYE AVCI VE SIRAKONAK KÖYLERİ KİLİT PARKE (2 İŞ)</t>
  </si>
  <si>
    <t>(1 İŞ)ERZİNCAN KEMALİYE DEMİR KÖYLERİ KİLİT PARKE</t>
  </si>
  <si>
    <t>( 4 İŞ) ERZİNCAN MERKEZ AHMETLİ, MECİDİYE VE EKİNCİ KÖYLERİ İÇME SUYU ŞEBEKESİ VE GÜNBAĞI KÖYÜ İSALE HATTI YAPIMI</t>
  </si>
  <si>
    <t>ERZİNCAN ÜZÜMLÜ İLÇE MERKEZİ ÜZÜMLÜ DERESİ 1. KISIM</t>
  </si>
  <si>
    <t>ERZİNCAN TURNAÇAYIRI BARAJI SULAMASI</t>
  </si>
  <si>
    <t>ERZİNCAN TURNAÇAYIRI BARAJI</t>
  </si>
  <si>
    <t>ERZİNCAN TERCAN ÇAVUŞLU MAHALLESİ İKMALİ</t>
  </si>
  <si>
    <t>ERZİNCAN TERCAN ÇAVUŞLU MAHALLESİ</t>
  </si>
  <si>
    <t>ERZİNCAN SAĞ SAHİL POMPAJ TESİSLERİ TAMAMLAMA</t>
  </si>
  <si>
    <t>ERZİNCAN REFAHİYE YURTBAŞI GÖLETİ SULAMASI</t>
  </si>
  <si>
    <t>ERZİNCAN REFAHİYE YURTBAŞI GÖLETİ</t>
  </si>
  <si>
    <t>ERZİNCAN REFAHİYE İLÇE MERKEZİ HAKOĞLU (KOCAÇAY) DERESİ YAN KOLLARI 1. KISIM</t>
  </si>
  <si>
    <t>ERZİNCAN REFAHİYE ÇAT KÖYÜ İKMALİ</t>
  </si>
  <si>
    <t>ERZİNCAN REFAHİYE ÇAT KÖYÜ</t>
  </si>
  <si>
    <t>ERZİNCAN REFAHİYE AVŞARÖZÜ GÖLETİ SULAMASI</t>
  </si>
  <si>
    <t>ERZİNCAN REFAHİYE AVŞARÖZÜ GÖLETİ</t>
  </si>
  <si>
    <t>ERZİNCAN REFAHİYE ARDIÇLIK, ULUDERE, ULUÇAK, AVŞARÖZÜ KÖYLERİ TERSİP BENDİ VE ISLAH SEKİSİ YAPIMI İKMALİ</t>
  </si>
  <si>
    <t>ERZİNCAN REFAHİYE ARDIÇLIK, ULUDERE, ULUÇAK, AVŞARÖZÜ KÖYLERİ TERSİP BENDİ VE ISLAH SEKİSİ YAPIMI</t>
  </si>
  <si>
    <t>ERZİNCAN OTLUKBELİ İLÇE MERKEZİ 1. KISIM</t>
  </si>
  <si>
    <t>ERZİNCAN MERKEZ IŞIKPINAR MAHALLESİ</t>
  </si>
  <si>
    <t>ERZİNCAN MERKEZ DAVARLI GÖLETİ SULAMASI</t>
  </si>
  <si>
    <t>ERZİNCAN MERKEZ DAVARLI GÖLETİ</t>
  </si>
  <si>
    <t>ERZİNCAN KEMAH TUZLAKÖY GÖLETİ SULAMASI</t>
  </si>
  <si>
    <t>ERZİNCAN KEMAH TUZLAKÖY GÖLETİ</t>
  </si>
  <si>
    <t>ERZİNCAN KEMAH ÖZDAMAR REGÜLATÖR SULAMASI İKMALİ</t>
  </si>
  <si>
    <t>ERZİNCAN KEMAH ÖZDAMAR REGÜLATÖR SULAMASI</t>
  </si>
  <si>
    <t>ERZİNCAN KEMAH KARADAĞ GÖLETİ SULAMASI</t>
  </si>
  <si>
    <t>ERZİNCAN KEMAH KARADAĞ GÖLETİ</t>
  </si>
  <si>
    <t>ERZİNCAN KEMAH DOĞANBEYLİ GÖLETİ İKMALİ</t>
  </si>
  <si>
    <t>ERZİNCAN KEMAH ÇİĞDEMLİ KÖYÜ KÜÇÜKARDIÇ DERESİ, YANDERE VE KURU DERE</t>
  </si>
  <si>
    <t>ERZİNCAN İLİÇ KURUÇAY DARDERE MAHALLESİ TERSİP BENDİ VE ISLAH SEKİSİ YAPIMI</t>
  </si>
  <si>
    <t>ERZİNCAN İLİ İŞLETMEDEKİ TAŞKIN KONTROL TESİSLERİNDE YETERSİZ GEÇİŞ YAPILARININ YENİLENMESİ</t>
  </si>
  <si>
    <t>ERZİNCAN İLİ HİS GÖLETLERİ PLANLAMA RAPORU HAZIRLANMASI</t>
  </si>
  <si>
    <t/>
  </si>
  <si>
    <t>ERZİNCAN İLİ GÖLET VE SULAMALARI PLANLAMA RAPORU VE PROJE YAPIMI 6. KISIM</t>
  </si>
  <si>
    <t>ERZİNCAN İLİ GÖLET VE SULAMALARI PLANLAMA RAPORU VE PROJE YAPIMI 3.KISIM (ERZİNCAN-SÜTPINAR, ERZİNCAN-DEREYURT, REFAHİYE-AYDINCIK, KEMAH-KÖMÜRKÖY...)</t>
  </si>
  <si>
    <t>ERZİNCAN İLİ 1. GRUP TERSİP BENDİ YAPIMI İKMALİ</t>
  </si>
  <si>
    <t>ERZİNCAN İLİ 1. GRUP TERSİP BENDİ YAPIMI</t>
  </si>
  <si>
    <t>ERZİNCAN İÇMESUYU İSALE HATTI VE ARITMA TESİSİ PROJE YAPIMI İLE MÜŞAVİRLİK HİZMETLERİ</t>
  </si>
  <si>
    <t>ERZİNCAN ÇAYIRLI PROJESİ KARADİVAN BARAJI PROJE YAPIMI</t>
  </si>
  <si>
    <t>ERZİNCAN 2.KISIM AT VE TİGH</t>
  </si>
  <si>
    <t>ERZİNCAN 1.KISIM AT VE TİGH</t>
  </si>
  <si>
    <t>BALLI BARAJI ANA İLETİM HATTI</t>
  </si>
  <si>
    <t>BALLI BARAJI</t>
  </si>
  <si>
    <t>4373 SAYILI KANUN KAPSAMINDA ERZİNCAN İLİ HAVZA BAZLI DERELERİN ETÜTLERİNİN YAPILMASI</t>
  </si>
  <si>
    <t xml:space="preserve">DSİ 8. BÖLGE MÜDÜRLÜĞÜ </t>
  </si>
  <si>
    <t>YAPIM MÜŞAVİRLİK HİZMETLERİ</t>
  </si>
  <si>
    <t>TRAFİK GÜVENLİĞİ ÇALIŞMALARI 2022</t>
  </si>
  <si>
    <t>SATHİ KAPLAMA ÇALIŞMALARI 2022</t>
  </si>
  <si>
    <t>REFAHİYE-KURUÇAY-İLİÇ YOLU [SÜNEBELİ VARYANTI-(İLİÇ-KEMAH)] AYR YOLU SANAT YAPILARI VE ÜST YAPI İKMAL İŞİ KM: 14+000 - 32+000</t>
  </si>
  <si>
    <t>REFAHİYE-KURUÇAY-İLİÇ DEVLET YOLU GÜMÜŞAKAR-KURUÇAY ARASI ( SÜNEBELİ TÜNELİ VE BAĞLANTI YOLLARI DAHİL ) KM. 22+500-51+500 TOPRAK İŞLERİ, SANAT YAPILAR</t>
  </si>
  <si>
    <t>REFAHİYE-KEMAH İL YOLU DAP</t>
  </si>
  <si>
    <t>REFAHİYE-ERZİNCAN DEVLET YOLUKM:31+500-65+000 ARASI HEYELEN ISLAH YAPIMI</t>
  </si>
  <si>
    <t>REFAHİYE- KURUÇAY- İLİÇ DEVLET YOLU GÜMÜŞAKAR- KURUÇAY ARASI (SÜNEBELİ VE GÜMÜŞAKAR TÜNELİ VE BAĞLANTI YOLLARI DAHİL) KM: 17+900-43+520 KESİMİ (İKMAL)</t>
  </si>
  <si>
    <t>REFAHİYE - İLİÇ - KEMALİYE - DUTLUCA - ARAPGİR YOLU KEMALİYE - DUTLUCA TÜNELLERİ VE BAĞLANTI YOLLARI İLE KEMALİYE VE KOZLUPINAR VİYADÜĞÜ KM:0+000 - 22</t>
  </si>
  <si>
    <t>KIZILMAĞARA KÖPRÜSÜ VE BAĞLANTI YOLLARI YAPIM İŞİ</t>
  </si>
  <si>
    <t>KEMALİYE İLÇESİ DUTLUCA-BAŞPINAR KÖYLERİ YOLLARININ HEYELAN NEDENİ İLE İYİLEŞTİRİLMESİ (İRAP)</t>
  </si>
  <si>
    <t>KEMAH İLÇESİ CEBESOY KÖYÜ İLE ALPKÖYÜ ARASINDA KARAYOLUNDA KAYA DÜŞMESİ TEHLİKESİNE KARŞI ÖNLEM ALINMASI (İRAP)</t>
  </si>
  <si>
    <t>KARAYOLLARI 16.BÖLGE MÜDÜRLÜĞÜ YOL AĞINDA BULUNAN KEMALİYE (ŞIRZI) TÜNELLERİNDE ÇELİK AĞ VE KAYA TUTUCU BARİYER UYGULANMASI YAPIM İŞİ</t>
  </si>
  <si>
    <t>KAMULAŞTIRMA BEDELLERİ ÖDEMELERİ 2022</t>
  </si>
  <si>
    <t>İŞ SAĞLIĞI GÜVENLİĞİ İŞLERİ VE MAKİNA İKMAL YEDEK PARÇA, MALZEME ALIMLARI İLE ARAÇ KİRALAMA YAKACAK ALIMI 2022</t>
  </si>
  <si>
    <t>İMRANLI-REFAHİYE (DAP)</t>
  </si>
  <si>
    <t>ETÜT-PROJE MÜHENDİSLİK VE MÜŞAVİRLİK HİZMETLERİ 2022</t>
  </si>
  <si>
    <t>ERZİNCAN-PÜLÜMÜR)AYR.-12.BL.HD.YOLU</t>
  </si>
  <si>
    <t>ERZİNCAN-BAŞKÖY-ÇAYIRLI YOLU (KM=14+775-46+720 ARASI) TOPRAK İŞLERİ, SANAT YAPILARI(DEVEKORUSU KÖPRÜSÜ YAPILMASI DAHİL) VE ÜSTYAPI İŞLERİ</t>
  </si>
  <si>
    <t>DEMİRÖZÜ-OTLUKBELİ YOLU TOPRAK İŞLERİ,SANAT YAPILARI,ÜSTYAPI İŞLERİ YOL YAPIM İNŞ.</t>
  </si>
  <si>
    <t>BAKIM ONARIM ,TESİS YAPIMI-ONARIMI VE KAR MÜCADELESİ ÇALIŞMALARI 2022</t>
  </si>
  <si>
    <t>(AKINCILAR-REFAHİYE) AYR- ÇATALÇAM YOLU (KM=0+000-16,151 ARASI) TOPRAK İŞLERİ, SANAT YAPILARI,DAMLACA-1,DAMLACA-2 KÖPRÜLERİ VE ÜSTYAPI İŞLERİ YOL YAP</t>
  </si>
  <si>
    <t>16. BL.HD.-TERCAN-AŞKALE</t>
  </si>
  <si>
    <t xml:space="preserve"> KARAYOLLARI 12. BÖLGE MÜDÜRLÜĞÜ</t>
  </si>
  <si>
    <t>ÜZÜMLÜ İÇMESUYU İNŞAATI</t>
  </si>
  <si>
    <t>TERCAN KANALİZASYON VE İÇMESUYU İNŞAATI YAPIM İŞİ</t>
  </si>
  <si>
    <t>ÇAĞLAYAN İÇMESUYU İNŞAATI YAPIM İŞİ</t>
  </si>
  <si>
    <t>ALTINBAŞAK KANALİZASYON İNŞAATI YAPIM İŞİ.</t>
  </si>
  <si>
    <t xml:space="preserve"> İLLER BANKASI ERZURUM BÖLGE MÜDÜRLÜĞÜ </t>
  </si>
  <si>
    <t>ORMANLARIN GELİŞTİRİLMESİ VE GENİŞLETİLMESİ PROJESİ</t>
  </si>
  <si>
    <t>ORMANCILIK ALTYAPISI VE ÜRETİM MAKİNASI ALIMI PROJESİ</t>
  </si>
  <si>
    <t>ORMAN KORUMA VE YANGINLA MÜCADELE PROJESİ</t>
  </si>
  <si>
    <t>ORMAN KADASTROSU VE TESCİLİ PROJESİ</t>
  </si>
  <si>
    <t>FİDAN ÜRETİM PROJESİ</t>
  </si>
  <si>
    <t>EROZYONLA MÜCADELE VE TOPRAK MUHAFAZA PROJESİ</t>
  </si>
  <si>
    <t xml:space="preserve"> ERZURUM ORMAN BÖLGE MÜDÜRLÜĞÜ </t>
  </si>
  <si>
    <t>ERC-KML SÖZLEŞME REFERANS NOLU KADASTRO HARİTA VE BİLGİLERİNİN GÜNCELLEMESİ</t>
  </si>
  <si>
    <t xml:space="preserve"> TAPU VE KADASTRO XXIV. (ERZİNCAN) BÖLGE MÜDÜRLÜĞÜ </t>
  </si>
  <si>
    <t>BİYOLOJİK ÇEŞİTLİLİĞE DAYALI GELENEKSEL BİLGİNİN KAYIT ALTINA ALINMASI</t>
  </si>
  <si>
    <t xml:space="preserve"> TARIM VE ORMAN BAKANLIĞI 13. BÖLGE MÜDÜRLÜĞÜ</t>
  </si>
  <si>
    <t>TMİ MINTIKASINDAKİ İSTASYONLARA MAKAS ISITICISI SİSTEMİ KURULMASI</t>
  </si>
  <si>
    <t>PERON-PERONBEJ BAĞLANTILARININ ENGELLİ ERİŞİMİNE UYGUN OLARAK DÜZENLENMESİ</t>
  </si>
  <si>
    <t>MUHTELİF GAR VE İSTASYON BİNALARINA RÖLÖVE, RESTÜTİSYON VE RESTORASYON PROJESİ HAZIRLANMASI</t>
  </si>
  <si>
    <t>KIYI TAHKİMATI YAPILMASI</t>
  </si>
  <si>
    <t>KAR TÜNELİ VE YARMA KAZISI YAPILMASI</t>
  </si>
  <si>
    <t>İSTASYONLARDA PERONBEJ YAPIMI</t>
  </si>
  <si>
    <t>İLİÇ İSTASYON BİNASI VE 6 ADET HİZMETEVİNİN DOĞALGAZ DÖNÜŞÜMÜ</t>
  </si>
  <si>
    <t>İLİÇ İSTASYON BİNASI ÇATI YENİLEME İŞİ</t>
  </si>
  <si>
    <t>HEMZEMİN GEÇİTLERE KORUMA, MAKİNİST UYARI, KAMERALI İZLEME SİSTEMLERİ KURULMASI</t>
  </si>
  <si>
    <t>ERZİNCAN-ERZURUM ARASI KÖPRÜLERİN İYİLEŞTİRMESİ</t>
  </si>
  <si>
    <t>ERZİNCAN VE ZİLE AKARYAKIT TESİSLERİNE KÖPÜKLÜ YANGIN SÖNDÜRME SİSTEMİ KURULUMU</t>
  </si>
  <si>
    <t>ERZİNCAN OSB İLTİSAK HATTI KURBUNUN İYİLEŞTİRİLMESİ</t>
  </si>
  <si>
    <t>ERZİNCAN OSB İLTİSAK HATTI EMNİYET YOLU YAPIMI</t>
  </si>
  <si>
    <t>ERZİNCAN GAR SAHASINDA 4 ADET RAY APARTMANI İLE 5 ADET MÜSTAKİL HİZMETEVİ İÇ TADİLATLARININ YAPILMASI</t>
  </si>
  <si>
    <t>ERZİNCAN GAR SAHASI 7 ADET BİNANIN DEPREM GÜÇLENDİRMESİNİN YAPILMASI</t>
  </si>
  <si>
    <t>ERZİNCAN GAR BİNASININ RRR, GÜÇLENDİRME VE ENGELLİ ERİŞEBİLİRLİK PROJELERİNİN HAZIRLANMASI</t>
  </si>
  <si>
    <t>EKSİK OLAN MEYİL LEVHALARININ YAPIMI</t>
  </si>
  <si>
    <t>DİVRİĞİ-ERZİNCAN ARASI PETRADÜK VE YÜKSEK KAYA YARMA PROJE YAPTIRILMASI</t>
  </si>
  <si>
    <t>556 ADET ALÜMİNOTERMİT RAY KAYNAĞI İŞLERİ</t>
  </si>
  <si>
    <t>5 ADET TÜNEL TİPİ ÜST GEÇİT PROJESİ YAPILMASI</t>
  </si>
  <si>
    <t>42 ADET (ÇAMAF) MAKAS TEMİNİ VE 89 ADET MAKAS FERŞİ</t>
  </si>
  <si>
    <t xml:space="preserve">TCDD 4. BÖLGE MÜDÜRLÜĞÜ </t>
  </si>
  <si>
    <t>ERZİNCAN İŞLETME VE BAKIM MÜDÜRLÜĞÜ HİZMET BİNASI</t>
  </si>
  <si>
    <t>ERİÇ-BAĞIŞTAŞ EİH</t>
  </si>
  <si>
    <t xml:space="preserve"> TEİAŞ 15. BÖLGE MÜDÜRLÜĞÜ </t>
  </si>
  <si>
    <t>ERZİNCAN-KEMALİYE KURTOĞLU CAMİİ, ERZİNCAN-KEMALİYE DÖRTYOLAĞZI CAMİİ, ERZİNCAN-KEMALİYE HACIEMİN MESCİDİ</t>
  </si>
  <si>
    <t>ERZİNCAN-KEMAH BEKLİMÇAY CAMİİ, SOĞUKPINAR (YUKARI MAHALLE) CAMİİ, AŞAĞI GEDİK CAMİİ VE ERZURUM HINIS ALAATTİN BEY CAMİİ</t>
  </si>
  <si>
    <t>ERZİNCAN MERKEZ ULU (İZZET PAŞA) CAMİ RESTORASYON PROJELERİ HAZIRLANMASI 2022-2023 YILLARI İŞİ</t>
  </si>
  <si>
    <t>KENTSEL DÖNÜŞÜM KAPSAMINDA ERZİNCAN DEİRKENT MAHALLESİ 80 DAİRE YAPIM İŞİ</t>
  </si>
  <si>
    <t>KENTSEL DÖNÜŞÜM KAPSAMINDA ERZİNCAN CUMHURİYET MAHALLESİ 158 DAİRE YAPIM İŞİ</t>
  </si>
  <si>
    <t>ERZİNCAN İLİ MERKEZ GÜNBAĞI KÖYÜ İSKAN KONUTLARI YAPIM İŞİ</t>
  </si>
  <si>
    <t>ERZİNCAN İLİ KEMAH İLÇESİ KÖMÜR KÖYÜ İSKAN KONUTLARI YAPIM İŞİ</t>
  </si>
  <si>
    <t>ERZİNCAN ÇEVRE, ŞEHİRCİLİK VE İKLİM DEĞİŞİKLİĞİ İL MÜDÜRLÜĞÜ HİZMET BİNASI YAPIM İŞİ</t>
  </si>
  <si>
    <t xml:space="preserve">ERZİNCAN ÇEVRE, ŞEHİRCİLİK VE İKLİM DEĞİŞİKLİĞİ İL MÜDÜRLÜĞÜ </t>
  </si>
  <si>
    <t>Refahiye</t>
  </si>
  <si>
    <t>REFAHİYE GENÇLİK MERKEZİ VE YÜZME HAVUZU</t>
  </si>
  <si>
    <t>Merkez</t>
  </si>
  <si>
    <t>OLİMPİK YÜZME HAVUZU ÇATI DEĞİŞİMİ, GÜÇLENDİRME VE GENEL BAKIM ONARIMI İKMALİ</t>
  </si>
  <si>
    <t>KONAKBAŞI,DUMANLI,BAĞPINAR,KARAKAYA KÖYLERİNE AÇIK SAHA, BALIKLI KÖYÜNE KAPALI SAHA YAPIMI</t>
  </si>
  <si>
    <t>KEMAH ANTRENMAN SPOR SALONU</t>
  </si>
  <si>
    <t>KARGIN,ÇADIRKAYA,ÜZÜMLÜ,İLİÇ VE ÇAYIRLI İLÇELERİNE KAPALI HALI SAHA YAPIMI</t>
  </si>
  <si>
    <t>ERZİNCANSPOR TESİSLERİ PEYZAJ, ELEKTRİK VE SULAMA SİSTEMİ YAPIMI</t>
  </si>
  <si>
    <t>ERZİNCANSPOR TESİSLERİ 1 VE 2 NOLU FUTBOL SAHALARINA ORTA ALAN DOĞAL ÇİM YÜZEYİ YENİLEME VE TOHUM EKİMİ</t>
  </si>
  <si>
    <t>ERZİNCAN YENİ ŞEHİR STADYUMU</t>
  </si>
  <si>
    <t>ÇAYIRLI GENÇLİK MERKEZİ</t>
  </si>
  <si>
    <t xml:space="preserve"> ERZİNCAN GENÇLİK VE SPOR İL MÜDÜRLÜĞÜ </t>
  </si>
  <si>
    <t>94%</t>
  </si>
  <si>
    <t>REFAHİYE İLÇESİ YURTBAŞI KÖYÜ TOPRAK KANAL YAPIM İŞİ</t>
  </si>
  <si>
    <t>REFAHİYE İLÇESİ KANBERAĞA KÖYÜ KUZEYİNDE BULUNAN KAYA BLOKLARININ DÜŞME TEHLİKESİNE KARŞI ÖNLEM ALINMASI</t>
  </si>
  <si>
    <t>ERZİNCAN İLİ REFAHİYE İLÇESİ AŞAĞISÜTLÜ KÖYÜ İSTİNAT DUVARI YAPIM İŞİ</t>
  </si>
  <si>
    <t>ERZİNCAN İLİ KEMALİYE İLÇESİ HARMANKAYA KÖYÜ ELEKTRİK ALT YAPI İŞİ</t>
  </si>
  <si>
    <t>AŞAĞISÜTLÜ KÖYÜ AFET KONUTLARI ELEKTRİK ALT YAPI İŞİ</t>
  </si>
  <si>
    <t>ERZİNCAN İL EMNİYET MÜDÜRLÜĞÜ HİZMET BİNASI YAPIM İŞİ</t>
  </si>
  <si>
    <t xml:space="preserve"> ERZİNCAN İL EMNİYET MÜDÜRLÜĞÜ</t>
  </si>
  <si>
    <t>PRAFABRİK EK HİZMET BİNASI</t>
  </si>
  <si>
    <t>ÇAĞLAYAN JANDARMA KARAKOL BİNASI PROJESİNİN HAZIRLANMASI</t>
  </si>
  <si>
    <t xml:space="preserve">ERZİNCAN İL JANDARMA KOMUTANLIĞI </t>
  </si>
  <si>
    <t>TERCAN İLÇE HALK KÜTÜPHANESİ HİZMET BİNASI ONARIMI İŞİ</t>
  </si>
  <si>
    <t>İL HALK KÜTÜPHANESİ HİZMET BİNASI YAPIM İŞİ</t>
  </si>
  <si>
    <t>ERZİNCAN MÜZESİ ONARIMI TEŞHİR TANZİMİ VE ÇEVRE DÜZENLEMESİ İŞİ</t>
  </si>
  <si>
    <t>ERGAN DAĞI MASTIR PLANI VE KENTSEL TASARIM PROJESİ İŞİ</t>
  </si>
  <si>
    <t xml:space="preserve">ERZİNCAN İL KÜLTÜR VE TURİZM MÜDÜRLÜĞÜ </t>
  </si>
  <si>
    <t>OTLUKBELİ ENTEGRE İLÇE HASTANESİ</t>
  </si>
  <si>
    <t>KEMALİYE 16 DAİRELİ LOJMAN</t>
  </si>
  <si>
    <t>KEMAH 16 DAİRELİ LOJMAN</t>
  </si>
  <si>
    <t>KARAAĞAÇ SAĞLIKLI YAŞAM MERKEZİ</t>
  </si>
  <si>
    <t>İLİÇ 8 DAİRELİ LOJMAN</t>
  </si>
  <si>
    <t>ERZİNCAN-TERCAN MERCAN ASM (2 AHB)+112 ASHİ</t>
  </si>
  <si>
    <t>ERZİNCAN MERKEZ İDARİ BİNA KOMPLEKSİ+HALK SAĞLIĞI LABORATUARI+ASM+TSM+SAĞLIKLI YAŞAM MERKEZİ</t>
  </si>
  <si>
    <t>ERZİNCAN MERKEZ DÖRTYOL DEVLET HASTANESİ (500 YATAK KAPASİTELİ)</t>
  </si>
  <si>
    <t>ERZİNCAN MERKEZ DEMİRKENT AİLE SAĞLIĞI MERKEZİ 3 AHB+112ACİL SAĞLIK İSTASYONU</t>
  </si>
  <si>
    <t>ERZİNCAN MERKEZ ASM(4 AHB)</t>
  </si>
  <si>
    <t>ERZİNCAN MERKEZ 3 NOLU ASHİ</t>
  </si>
  <si>
    <t>CUMHURİYET ASM (4 HEKİMLİ)</t>
  </si>
  <si>
    <t xml:space="preserve"> ERZİNCAN İL SAĞLIK MÜDÜRLÜĞÜ</t>
  </si>
  <si>
    <t>YERLİ HİBRİT ÇEŞİTLERİNİN YAYGINLAŞTIRILMASI</t>
  </si>
  <si>
    <t>TÜRKİYE TARIM HAVZALARI GELİŞTİRME PROJESİ</t>
  </si>
  <si>
    <t>TARIMSAL YAYIM HİZMETLERİ PROJESİ</t>
  </si>
  <si>
    <t>TARIMSAL ÖRGÜT VE KOOPERATİF EĞİTİMLERİ</t>
  </si>
  <si>
    <t>TARIM ARAZİLERİNİN KULLANIMININ ETKİNLEŞTİRİLMESİ</t>
  </si>
  <si>
    <t>SUNİ TOHUMLAMANIN GELİŞTİRİLMESİ</t>
  </si>
  <si>
    <t>SULARDA TARIMSAL FAALİYETLERDEN KAYNAKLANAN KİRLİLİĞİN KONTROLÜ PROJESİ</t>
  </si>
  <si>
    <t>SU ÜRÜNLERİ ÜRETİMİNİN GELİŞTİRİLMESİ PROJESİ</t>
  </si>
  <si>
    <t>ORGANİK TARIMIN YAYGINLAŞTIRILMASI VE KONTROLÜ PROJESİ</t>
  </si>
  <si>
    <t>KURUMSAL KAPASİTENİN GELİŞTİRİLMESİ PROJESİ</t>
  </si>
  <si>
    <t>KONTROL HİZMETLERİNİN GELİŞTİRİLMESİ PROJESİ</t>
  </si>
  <si>
    <t>KIRSAL KALKINMA DESTEKLEMELERİNİN İZLENMESİ</t>
  </si>
  <si>
    <t>KADIN ÇİFTÇİLER TARIMSAL YAYIM PROJESİ</t>
  </si>
  <si>
    <t>İYİ TARIM UYGULAMALARININ YAYGINLAŞTIRILMASI VE KONTROLÜ PROJESİ</t>
  </si>
  <si>
    <t>HAYVANSAL ÜRETİMİN ARTIRILMASI</t>
  </si>
  <si>
    <t>HAYVAN HASTALIK VE ZARARLILARI İLE MÜCADELE PROJESİ</t>
  </si>
  <si>
    <t>GIDA VE YEM NUMUNESİ ALMA HİZMETLERİNİN GELİŞTİRİLMESİ</t>
  </si>
  <si>
    <t>GIDA GÜVENLİĞİ VE KONTROL SİSTEMİNİN GÜÇLENDİRİLMESİ</t>
  </si>
  <si>
    <t>ERZİNCAN TARIMA DAYALI İHTİSAS (BESİ) OSB</t>
  </si>
  <si>
    <t>ÇAYIR MERA ISLAH VE AMENAJMAN</t>
  </si>
  <si>
    <t>BİTKİ SAĞLIĞI UYG. KONT. PRJ. - BİTKİSEL ÜRETİM KARANTİNA HİZMETLERİ</t>
  </si>
  <si>
    <t>BİTKİ SAĞLIĞI UYG. KONT. PRJ. - BİTKİ SAĞLIĞI HİZMETLERİNİN ETKİNLEŞTİRİLMESİ</t>
  </si>
  <si>
    <t>ARAZİ KULLANIM PLANLAMASI</t>
  </si>
  <si>
    <t>ALTERNATİF ÜRETİM YÖNTEMLERİNİN GELİŞTİRİLMESİ PROJESİ</t>
  </si>
  <si>
    <t xml:space="preserve">ERZİNCAN İL TARIM VE ORMAN MÜDÜRLÜĞÜ </t>
  </si>
  <si>
    <t>VALİ RECEP YAZICIOĞLU İLKOKULU</t>
  </si>
  <si>
    <t>ULALAR 75.YIL BAYRAK İLKOKULU BAHÇESİNE ANAOKULU YAPIM İŞİ</t>
  </si>
  <si>
    <t>TEMEL EĞİTİMDE 10.000 OKUL PROJESİ KAPSAMINDAKİ 24 OKULUN ONARIMI</t>
  </si>
  <si>
    <t>TEMEL EĞİTİM GENEL MÜDÜRLÜĞÜNE BAĞLI 5 ANAOKULUNUN ONARIMI</t>
  </si>
  <si>
    <t>TEMEL EĞİTİM GENEL MÜDÜRLÜĞÜNE BAĞLI 12 İLK VE ORTAOKUL ONARIMI</t>
  </si>
  <si>
    <t>ŞEKER FABRİKASI YANINDAKİ TAŞINMAZ ÜZERİNE ANAOKULU</t>
  </si>
  <si>
    <t>REFAHİYE ÇOK PROGRAMLI ANADOLU LİSESİ VE YURT BİNASI</t>
  </si>
  <si>
    <t>ÖZEL EĞİTİM VE REHBERLİK HİZMETLERİ GENEL MÜDÜRLÜĞÜNE BAĞLI 4 OKUL ONARIMI</t>
  </si>
  <si>
    <t>OSMANGAZİ İLKOKULU BAHÇESİNE ANAOKULU YAPIM İŞİ</t>
  </si>
  <si>
    <t>ORTA ÖĞRETİM GENEL MÜDÜRLÜĞÜNE BAĞLI 6 LİSE ONARIMI</t>
  </si>
  <si>
    <t>OKULLARDA ENERJİ VERİMLİLİĞİ PROJESİ KAPSAMINDAKİ 15 OKULUN KOMPANZASYON ONARIMI VE 11 OKULUN DOĞALGAZ DÖNÜŞÜM ONARIMI</t>
  </si>
  <si>
    <t>MİLLİ EĞİTİM MÜDÜRLÜĞÜ YEMEKHANE ONARIMI</t>
  </si>
  <si>
    <t>MİLLİ EĞİTİM MÜDÜRLÜĞÜ HİZMET BİNASI</t>
  </si>
  <si>
    <t>MESLEKİ VE TEKNİK EĞİTİM GENEL MÜDÜRLÜĞÜNE BAĞLI 13 LİSE ONARIMI</t>
  </si>
  <si>
    <t>MESLEKİ VE TEKNİK ANADOLU LİSESİ (KIZ MESLEK LİSESİ)</t>
  </si>
  <si>
    <t>MESLEKİ EĞİTİM MERKEZİ</t>
  </si>
  <si>
    <t>M.ŞEMSETTİN GÜNALTAY İLKOKULU BAHÇESİNE ANAOKULU YAPIM İŞİ</t>
  </si>
  <si>
    <t>KEMALİYE HACI ALİ AKIN LİSESİ</t>
  </si>
  <si>
    <t>KEMALİYE 6 DERSLİKLİ İLKOKUL</t>
  </si>
  <si>
    <t>KARGIN ÖMER GÜLTEKİN İLKOKULU</t>
  </si>
  <si>
    <t>HÜRRİYET MESLEKİ VE TEKNİK ANADOLU LİSESİ</t>
  </si>
  <si>
    <t>HAYRETTİN PAŞA İLKOKULU</t>
  </si>
  <si>
    <t>HAYAT BOYU ÖĞRENME GENEL MÜDÜRLÜĞÜNE BAĞLI 2 HALK EĞİTİM MERKEZİ ONARIMI</t>
  </si>
  <si>
    <t>GÜZEL SANATLAR LİSESİ ATÖLYE BİNASI</t>
  </si>
  <si>
    <t>ERZİNCAN SOSYAL BİLİMLER LİSESİ</t>
  </si>
  <si>
    <t>ERZİNCAN ÖĞRETMENEVİ</t>
  </si>
  <si>
    <t>ELAATTİN ELMAS ANADOLU İMAM HATİP LİSESİ</t>
  </si>
  <si>
    <t>DİN ÖĞRETİMİ GENEL MÜDÜRLÜĞÜNE BAĞLI 1 İHL ONARIMI</t>
  </si>
  <si>
    <t>DİN ÖĞRETİM GENEL MÜDÜRLÜĞÜNE BAĞLI 3 İMAM HATİP ORTAOKULU ONARIMI</t>
  </si>
  <si>
    <t>DEMİRKENT ATATÜRK İLKOKULU BAHÇESİNE ANAOKULU YAPIM İŞİ</t>
  </si>
  <si>
    <t>ÇEVRE DOSTU OKUL PROJESİ KAPSAMINDA 8 OKUL ONARIMI</t>
  </si>
  <si>
    <t>AKYAZI İLKOKULU</t>
  </si>
  <si>
    <t>AKŞEMSEDDİN İLKOKULU</t>
  </si>
  <si>
    <t>9 OKUL 1 SPOR SALONU 1 DEPO GÜÇLENDİRME ONARIMLARI</t>
  </si>
  <si>
    <t xml:space="preserve">ERZİNCAN İL MİLLİ EĞİTİM MÜDÜRLÜĞÜ </t>
  </si>
  <si>
    <t xml:space="preserve">MAHALLİ İDARELERE GÖRE DEĞERLENDİRME </t>
  </si>
  <si>
    <t>GENEL BÜTÇELİ KURULUŞLAR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</si>
</sst>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%0.00;\-%0.00;%0.00"/>
    <numFmt numFmtId="165" formatCode="%#,##0.00;\-%#,##0.00;%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04"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65" formatCode="%#,##0.00;\-%#,##0.00;%#,##0.00"/>
    </dxf>
    <dxf>
      <numFmt numFmtId="165" formatCode="%#,##0.00;\-%#,##0.00;%#,##0.00"/>
    </dxf>
    <dxf>
      <numFmt numFmtId="165" formatCode="%#,##0.00;\-%#,##0.00;%#,##0.00"/>
    </dxf>
    <dxf>
      <numFmt numFmtId="164" formatCode="%0.00;\-%0.00;%0.0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165" formatCode="%#,##0.00;\-%#,##0.00;%#,##0.00"/>
    </dxf>
    <dxf>
      <numFmt numFmtId="13" formatCode="0%"/>
      <alignment horizontal="center" vertical="bottom" textRotation="0" wrapText="0" indent="0" justifyLastLine="0" shrinkToFit="0" readingOrder="0"/>
    </dxf>
    <dxf>
      <numFmt numFmtId="164" formatCode="%0.00;\-%0.00;%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%#,##0.00;\-%#,##0.00;%#,##0.0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3" formatCode="0%"/>
      <alignment horizontal="center" vertical="bottom" textRotation="0" wrapText="0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  <dxf>
      <numFmt numFmtId="165" formatCode="%#,##0.00;\-%#,##0.00;%#,##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1C92627-B9FA-45CB-9D81-2DD6AFAF8418}" name="Table17" displayName="Table17" ref="A3:K26" totalsRowCount="1">
  <autoFilter ref="A3:K25" xr:uid="{00000000-0009-0000-0100-000001000000}"/>
  <tableColumns count="11">
    <tableColumn id="1" xr3:uid="{00000000-0010-0000-0000-000001000000}" name="Yatırımcı Kuruluş" dataDxfId="70"/>
    <tableColumn id="2" xr3:uid="{00000000-0010-0000-0000-000002000000}" name="Proje Sayısı" totalsRowFunction="sum" totalsRowDxfId="69"/>
    <tableColumn id="3" xr3:uid="{00000000-0010-0000-0000-000003000000}" name="Toplam Yıl Ödeneği" totalsRowFunction="sum" totalsRowDxfId="68"/>
    <tableColumn id="4" xr3:uid="{00000000-0010-0000-0000-000004000000}" name="Toplam Proje Tutarı" totalsRowFunction="sum" totalsRowDxfId="67"/>
    <tableColumn id="5" xr3:uid="{00000000-0010-0000-0000-000005000000}" name="Önceki Yıllar Toplam Harcaması" totalsRowFunction="sum" totalsRowDxfId="66"/>
    <tableColumn id="6" xr3:uid="{00000000-0010-0000-0000-000006000000}" name="Yılı Harcama Tutarı" totalsRowFunction="sum" totalsRowDxfId="65"/>
    <tableColumn id="7" xr3:uid="{00000000-0010-0000-0000-000007000000}" name="Toplam Harcama Tutarı" totalsRowFunction="sum" totalsRowDxfId="64"/>
    <tableColumn id="8" xr3:uid="{00000000-0010-0000-0000-000008000000}" name="Nakdi Gerçekleşme Oranı" totalsRowLabel="% 33.6" dataDxfId="63" totalsRowDxfId="62"/>
    <tableColumn id="9" xr3:uid="{00000000-0010-0000-0000-000009000000}" name="Dönem Nakdi Gerçekleşme Oranı" totalsRowLabel="% 90.3" dataDxfId="61"/>
    <tableColumn id="10" xr3:uid="{00000000-0010-0000-0000-00000A000000}" name="Yılı Harcama Oranı" totalsRowLabel="% 90.3" dataDxfId="60"/>
    <tableColumn id="11" xr3:uid="{00000000-0010-0000-0000-00000B000000}" name="Fiziki Gerçekleşme Oranı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2081C01-84DF-486D-A2AE-0BD27B6E5ACB}" name="Table112" displayName="Table112" ref="A3:K26" totalsRowCount="1">
  <autoFilter ref="A3:K25" xr:uid="{00000000-0009-0000-0100-000001000000}"/>
  <tableColumns count="11">
    <tableColumn id="1" xr3:uid="{00000000-0010-0000-0000-000001000000}" name="Proje Adı" dataDxfId="41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2FA6595-4704-4AF0-B2F4-3E517F60586B}" name="Table113" displayName="Table113" ref="A3:K5" totalsRowCount="1">
  <autoFilter ref="A3:K4" xr:uid="{00000000-0009-0000-0100-000001000000}"/>
  <tableColumns count="11">
    <tableColumn id="1" xr3:uid="{00000000-0010-0000-0000-000001000000}" name="Proje Adı"/>
    <tableColumn id="2" xr3:uid="{00000000-0010-0000-0000-000002000000}" name="Toplam Yıl Ödeneği" totalsRowFunction="sum" totalsRowDxfId="40"/>
    <tableColumn id="3" xr3:uid="{00000000-0010-0000-0000-000003000000}" name="Toplam Proje Tutarı" totalsRowFunction="sum" totalsRowDxfId="39"/>
    <tableColumn id="4" xr3:uid="{00000000-0010-0000-0000-000004000000}" name="Önceki Yıllar Toplam Harcaması" totalsRowFunction="sum" totalsRowDxfId="38"/>
    <tableColumn id="5" xr3:uid="{00000000-0010-0000-0000-000005000000}" name="Yılı Harcama Tutarı" totalsRowFunction="sum" totalsRowDxfId="37"/>
    <tableColumn id="6" xr3:uid="{00000000-0010-0000-0000-000006000000}" name="Toplam Harcama Tutarı" totalsRowFunction="sum" totalsRowDxfId="36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59163C5-3473-44E4-9015-F8D84E6D6C6F}" name="Table114" displayName="Table114" ref="A3:K8" totalsRowCount="1">
  <autoFilter ref="A3:K7" xr:uid="{00000000-0009-0000-0100-000001000000}"/>
  <tableColumns count="11">
    <tableColumn id="1" xr3:uid="{00000000-0010-0000-0000-000001000000}" name="Proje Adı" dataDxfId="35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61EA31AA-B484-479A-BB06-B279AE450063}" name="Table115" displayName="Table115" ref="A3:K10" totalsRowCount="1">
  <autoFilter ref="A3:K9" xr:uid="{00000000-0009-0000-0100-000001000000}"/>
  <tableColumns count="11">
    <tableColumn id="1" xr3:uid="{00000000-0010-0000-0000-000001000000}" name="Proje Adı" dataDxfId="34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C4285A-ECE2-46C6-9240-5D4CC05262BD}" name="Table116" displayName="Table116" ref="A3:K5" totalsRowCount="1">
  <autoFilter ref="A3:K4" xr:uid="{00000000-0009-0000-0100-000001000000}"/>
  <tableColumns count="11">
    <tableColumn id="1" xr3:uid="{00000000-0010-0000-0000-000001000000}" name="Proje Adı" dataDxfId="33" totalsRowDxfId="32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7020F03-5B18-42F7-AEA2-714A763B56F8}" name="Table117" displayName="Table117" ref="A3:K5" totalsRowCount="1">
  <autoFilter ref="A3:K4" xr:uid="{00000000-0009-0000-0100-000001000000}"/>
  <tableColumns count="11">
    <tableColumn id="1" xr3:uid="{00000000-0010-0000-0000-000001000000}" name="Proje Adı" dataDxfId="31" totalsRowDxfId="30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B2BB5CA-9B55-4BAC-BC34-16E2A5338C0A}" name="Table118" displayName="Table118" ref="A3:K25" totalsRowCount="1" headerRowDxfId="29">
  <autoFilter ref="A3:K24" xr:uid="{00000000-0009-0000-0100-000001000000}"/>
  <tableColumns count="11">
    <tableColumn id="1" xr3:uid="{00000000-0010-0000-0000-000001000000}" name="Proje Adı" dataDxfId="28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7212C0-A492-4E27-A6C5-476D275A55E6}" name="Table119" displayName="Table119" ref="A3:K6" totalsRowCount="1">
  <autoFilter ref="A3:K5" xr:uid="{00000000-0009-0000-0100-000001000000}"/>
  <tableColumns count="11">
    <tableColumn id="1" xr3:uid="{00000000-0010-0000-0000-000001000000}" name="Proje Adı" dataDxfId="27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B0F0E80-2C45-4F7E-80C2-2E8818D868A6}" name="Table120" displayName="Table120" ref="A3:K7" totalsRowCount="1">
  <autoFilter ref="A3:K6" xr:uid="{00000000-0009-0000-0100-000001000000}"/>
  <tableColumns count="11">
    <tableColumn id="1" xr3:uid="{00000000-0010-0000-0000-000001000000}" name="Proje Adı" dataDxfId="26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33C0E1A-B1C9-4E97-B977-6853792E55FA}" name="Table121" displayName="Table121" ref="A3:K9" totalsRowCount="1" headerRowDxfId="25">
  <autoFilter ref="A3:K8" xr:uid="{00000000-0009-0000-0100-000001000000}"/>
  <tableColumns count="11">
    <tableColumn id="1" xr3:uid="{00000000-0010-0000-0000-000001000000}" name="Proje Adı" dataDxfId="24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K24" totalsRowCount="1">
  <autoFilter ref="A3:K23" xr:uid="{00000000-0009-0000-0100-000001000000}"/>
  <tableColumns count="11">
    <tableColumn id="1" xr3:uid="{00000000-0010-0000-0000-000001000000}" name="Yatırımcı Kuruluş" dataDxfId="103"/>
    <tableColumn id="2" xr3:uid="{00000000-0010-0000-0000-000002000000}" name="Proje Sayısı" totalsRowFunction="sum" totalsRowDxfId="102"/>
    <tableColumn id="3" xr3:uid="{00000000-0010-0000-0000-000003000000}" name="Toplam Yıl Ödeneği" totalsRowFunction="sum" totalsRowDxfId="101"/>
    <tableColumn id="4" xr3:uid="{00000000-0010-0000-0000-000004000000}" name="Toplam Proje Tutarı" totalsRowFunction="sum" totalsRowDxfId="100"/>
    <tableColumn id="5" xr3:uid="{00000000-0010-0000-0000-000005000000}" name="Önceki Yıllar Toplam Harcaması" totalsRowFunction="sum" totalsRowDxfId="99"/>
    <tableColumn id="6" xr3:uid="{00000000-0010-0000-0000-000006000000}" name="Yılı Harcama Tutarı" totalsRowFunction="sum" totalsRowDxfId="98"/>
    <tableColumn id="7" xr3:uid="{00000000-0010-0000-0000-000007000000}" name="Toplam Harcama Tutarı" totalsRowFunction="sum" totalsRowDxfId="97"/>
    <tableColumn id="8" xr3:uid="{00000000-0010-0000-0000-000008000000}" name="Nakdi Gerçekleşme Oranı" totalsRowLabel="% 32.5"/>
    <tableColumn id="9" xr3:uid="{00000000-0010-0000-0000-000009000000}" name="Dönem Nakdi Gerçekleşme Oranı" totalsRowLabel="% 90.3"/>
    <tableColumn id="10" xr3:uid="{00000000-0010-0000-0000-00000A000000}" name="Yılı Harcama Oranı" totalsRowLabel="% 90.3" dataDxfId="96"/>
    <tableColumn id="11" xr3:uid="{00000000-0010-0000-0000-00000B000000}" name="Fiziki Gerçekleşme Oranı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2D1B76A-9637-46E2-8AE8-E0DE82074E9A}" name="Table122" displayName="Table122" ref="A3:K13" totalsRowCount="1">
  <autoFilter ref="A3:K12" xr:uid="{00000000-0009-0000-0100-000001000000}"/>
  <tableColumns count="11">
    <tableColumn id="1" xr3:uid="{00000000-0010-0000-0000-000001000000}" name="Proje Adı" dataDxfId="23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207B2FE-2654-403F-BEE6-BC841852EBB8}" name="Table123" displayName="Table123" ref="A3:K9" totalsRowCount="1">
  <autoFilter ref="A3:K8" xr:uid="{00000000-0009-0000-0100-000001000000}"/>
  <tableColumns count="11">
    <tableColumn id="1" xr3:uid="{00000000-0010-0000-0000-000001000000}" name="Proje Adı" dataDxfId="22"/>
    <tableColumn id="2" xr3:uid="{00000000-0010-0000-0000-000002000000}" name="Toplam Yıl Ödeneği" totalsRowFunction="sum" totalsRowDxfId="21"/>
    <tableColumn id="3" xr3:uid="{00000000-0010-0000-0000-000003000000}" name="Toplam Proje Tutarı" totalsRowFunction="sum" totalsRowDxfId="20"/>
    <tableColumn id="4" xr3:uid="{00000000-0010-0000-0000-000004000000}" name="Önceki Yıllar Toplam Harcaması" totalsRowFunction="sum" totalsRowDxfId="19"/>
    <tableColumn id="5" xr3:uid="{00000000-0010-0000-0000-000005000000}" name="Yılı Harcama Tutarı" totalsRowFunction="sum" totalsRowDxfId="18"/>
    <tableColumn id="6" xr3:uid="{00000000-0010-0000-0000-000006000000}" name="Toplam Harcama Tutarı" totalsRowFunction="sum" totalsRowDxfId="17"/>
    <tableColumn id="7" xr3:uid="{00000000-0010-0000-0000-000007000000}" name="Nakdi Gerçekleşme Oranı" totalsRowLabel="94%" totalsRowDxfId="16"/>
    <tableColumn id="8" xr3:uid="{00000000-0010-0000-0000-000008000000}" name="Dönem Nakdi Gerçekleşme Oranı" totalsRowLabel="94%" totalsRowDxfId="15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223DF3AC-C58B-480F-A282-169689B420D1}" name="Table124" displayName="Table124" ref="A3:K5" totalsRowCount="1">
  <autoFilter ref="A3:K4" xr:uid="{00000000-0009-0000-0100-000001000000}"/>
  <tableColumns count="11">
    <tableColumn id="1" xr3:uid="{00000000-0010-0000-0000-000001000000}" name="Proje Adı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B99F1D8F-A1B3-4D57-AA4E-C4EFE0596DC6}" name="Table125" displayName="Table125" ref="A3:K6" totalsRowCount="1">
  <autoFilter ref="A3:K5" xr:uid="{00000000-0009-0000-0100-000001000000}"/>
  <tableColumns count="11">
    <tableColumn id="1" xr3:uid="{00000000-0010-0000-0000-000001000000}" name="Proje Adı" dataDxfId="0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736F075-43AB-4ED7-AC27-4A21BF362B76}" name="Table126" displayName="Table126" ref="A3:K8" totalsRowCount="1">
  <autoFilter ref="A3:K7" xr:uid="{00000000-0009-0000-0100-000001000000}"/>
  <tableColumns count="11">
    <tableColumn id="1" xr3:uid="{00000000-0010-0000-0000-000001000000}" name="Proje Adı" dataDxfId="14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8F9A5CB-DF65-4C05-B784-48E32F4F4AA2}" name="Table127" displayName="Table127" ref="A3:K16" totalsRowCount="1">
  <autoFilter ref="A3:K15" xr:uid="{00000000-0009-0000-0100-000001000000}"/>
  <tableColumns count="11">
    <tableColumn id="1" xr3:uid="{00000000-0010-0000-0000-000001000000}" name="Proje Adı" dataDxfId="13"/>
    <tableColumn id="2" xr3:uid="{00000000-0010-0000-0000-000002000000}" name="Toplam Yıl Ödeneği" totalsRowFunction="sum" totalsRowDxfId="12"/>
    <tableColumn id="3" xr3:uid="{00000000-0010-0000-0000-000003000000}" name="Toplam Proje Tutarı" totalsRowFunction="sum" totalsRowDxfId="11"/>
    <tableColumn id="4" xr3:uid="{00000000-0010-0000-0000-000004000000}" name="Önceki Yıllar Toplam Harcaması" totalsRowFunction="sum" totalsRowDxfId="10"/>
    <tableColumn id="5" xr3:uid="{00000000-0010-0000-0000-000005000000}" name="Yılı Harcama Tutarı" totalsRowFunction="sum" totalsRowDxfId="9"/>
    <tableColumn id="6" xr3:uid="{00000000-0010-0000-0000-000006000000}" name="Toplam Harcama Tutarı" totalsRowFunction="sum" totalsRowDxfId="8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7B4FBEEE-3D87-4555-AB94-ED2DF9BECCCA}" name="Table128" displayName="Table128" ref="A3:K29" totalsRowCount="1">
  <autoFilter ref="A3:K28" xr:uid="{00000000-0009-0000-0100-000001000000}"/>
  <tableColumns count="11">
    <tableColumn id="1" xr3:uid="{00000000-0010-0000-0000-000001000000}" name="Proje Adı" dataDxfId="7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D9B4EC15-21CA-4A89-BE5B-5A57F330B309}" name="Table129" displayName="Table129" ref="A3:K38" totalsRowCount="1">
  <autoFilter ref="A3:K37" xr:uid="{00000000-0009-0000-0100-000001000000}"/>
  <tableColumns count="11">
    <tableColumn id="1" xr3:uid="{00000000-0010-0000-0000-000001000000}" name="Proje Adı" dataDxfId="6"/>
    <tableColumn id="2" xr3:uid="{00000000-0010-0000-0000-000002000000}" name="Toplam Yıl Ödeneği" totalsRowFunction="sum" totalsRowDxfId="5"/>
    <tableColumn id="3" xr3:uid="{00000000-0010-0000-0000-000003000000}" name="Toplam Proje Tutarı" totalsRowFunction="sum" totalsRowDxfId="4"/>
    <tableColumn id="4" xr3:uid="{00000000-0010-0000-0000-000004000000}" name="Önceki Yıllar Toplam Harcaması" totalsRowFunction="sum" totalsRowDxfId="3"/>
    <tableColumn id="5" xr3:uid="{00000000-0010-0000-0000-000005000000}" name="Yılı Harcama Tutarı" totalsRowFunction="sum" totalsRowDxfId="2"/>
    <tableColumn id="6" xr3:uid="{00000000-0010-0000-0000-000006000000}" name="Toplam Harcama Tutarı" totalsRowFunction="sum" totalsRowDxfId="1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B2F945-3C61-4C39-9B7F-DB8BC023A6F1}" name="Table13" displayName="Table13" ref="A3:K6" totalsRowCount="1">
  <autoFilter ref="A3:K5" xr:uid="{00000000-0009-0000-0100-000001000000}"/>
  <tableColumns count="11">
    <tableColumn id="1" xr3:uid="{697AA348-0997-4BEC-BCDC-31D5E2BDE9D5}" name="Yatırımcı Kuruluş" dataDxfId="95"/>
    <tableColumn id="2" xr3:uid="{E7F87B04-A264-4D7A-A98C-C1C9AECD377D}" name="Proje Sayısı" totalsRowFunction="sum" totalsRowDxfId="94"/>
    <tableColumn id="3" xr3:uid="{359B228F-6FDB-48DB-BB7F-8B7BBB1E77A6}" name="Toplam Yıl Ödeneği" totalsRowFunction="sum" totalsRowDxfId="93"/>
    <tableColumn id="4" xr3:uid="{1AE873A7-68BC-40DF-88DF-8A0516AFD428}" name="Toplam Proje Tutarı" totalsRowFunction="sum" totalsRowDxfId="92"/>
    <tableColumn id="5" xr3:uid="{C6F1E4B7-FF81-40CD-9D30-21B7F9A952F9}" name="Önceki Yıllar Toplam Harcaması" totalsRowFunction="sum" totalsRowDxfId="91"/>
    <tableColumn id="6" xr3:uid="{8ABF2AF1-C373-4B3F-8409-270B8F20C6E4}" name="Yılı Harcama Tutarı" totalsRowFunction="sum" totalsRowDxfId="90"/>
    <tableColumn id="7" xr3:uid="{F63B4D9F-7C1F-4F21-908B-3D35524AEFA0}" name="Toplam Harcama Tutarı" totalsRowFunction="sum" totalsRowDxfId="89"/>
    <tableColumn id="8" xr3:uid="{05D912F4-B135-4BE9-9694-02C36FEDDD81}" name="Nakdi Gerçekleşme Oranı"/>
    <tableColumn id="9" xr3:uid="{E425031A-6A8E-48D8-98F7-F04B9751636F}" name="Dönem Nakdi Gerçekleşme Oranı"/>
    <tableColumn id="10" xr3:uid="{CB0D6F44-F5A5-4D2E-AADB-CCED8EB60DC3}" name="Yılı Harcama Oranı"/>
    <tableColumn id="11" xr3:uid="{151CACAC-04CA-4255-B3DB-AB94A9955BF1}" name="Fiziki Gerçekleşme Oranı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517837-960A-44D3-807D-86F1B308E907}" name="Table15" displayName="Table15" ref="A3:J14" totalsRowCount="1" headerRowDxfId="88">
  <autoFilter ref="A3:J13" xr:uid="{00000000-0009-0000-0100-000001000000}"/>
  <tableColumns count="10">
    <tableColumn id="1" xr3:uid="{B73BD748-304F-45F8-9839-0901E334A743}" name="İlçe"/>
    <tableColumn id="2" xr3:uid="{471D35D3-8DF1-425D-AF1A-F8DA0585C30B}" name="Proje Sayısı" totalsRowFunction="sum" totalsRowDxfId="87"/>
    <tableColumn id="3" xr3:uid="{62128677-703F-4246-8BC3-FE5B3DD53A3E}" name="Toplam Yıl Ödeneği" totalsRowFunction="sum" totalsRowDxfId="86"/>
    <tableColumn id="4" xr3:uid="{7FD00469-4922-4BBA-9A80-F5925FBB6C7C}" name="Toplam Proje Tutarı" totalsRowFunction="sum" totalsRowDxfId="85"/>
    <tableColumn id="5" xr3:uid="{7F83C94E-1752-4D5D-8D5C-12AA530E41AF}" name="Önceki Yıllar Toplam Harcaması" totalsRowFunction="sum" totalsRowDxfId="84"/>
    <tableColumn id="6" xr3:uid="{9F5DE5A6-7B06-46B2-A95C-A82F374D4DAF}" name="Yılı Harcama Tutarı" totalsRowFunction="sum" totalsRowDxfId="83"/>
    <tableColumn id="7" xr3:uid="{90116C9D-629F-4590-9F6D-D37B153FAA24}" name="Toplam Harcama Tutarı" totalsRowFunction="sum" totalsRowDxfId="82"/>
    <tableColumn id="8" xr3:uid="{4624E8FB-FFEA-44BF-97D0-28F8445085F1}" name="Nakdi Gerçekleşme Oranı" totalsRowLabel="% 33.6" totalsRowDxfId="81"/>
    <tableColumn id="9" xr3:uid="{A4D8949C-2466-477F-88BA-1AAEA065F13B}" name="Yılı Harcama Oranı" totalsRowLabel="% 90.3"/>
    <tableColumn id="10" xr3:uid="{8DEFE89A-6B26-48A5-8C50-3D29CD650681}" name="Fiziki Gerçekleşme Oranı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9D3B7F8-85EA-4556-AB5C-2E8D30DC0B4B}" name="Table16" displayName="Table16" ref="A3:J13" totalsRowCount="1" headerRowDxfId="80">
  <autoFilter ref="A3:J12" xr:uid="{00000000-0009-0000-0100-000001000000}"/>
  <tableColumns count="10">
    <tableColumn id="1" xr3:uid="{00000000-0010-0000-0000-000001000000}" name="Proje Sektörü"/>
    <tableColumn id="2" xr3:uid="{00000000-0010-0000-0000-000002000000}" name="Proje Sayısı" totalsRowFunction="sum" totalsRowDxfId="79"/>
    <tableColumn id="3" xr3:uid="{00000000-0010-0000-0000-000003000000}" name="Toplam Yıl Ödeneği" totalsRowFunction="sum" totalsRowDxfId="78"/>
    <tableColumn id="4" xr3:uid="{00000000-0010-0000-0000-000004000000}" name="Toplam Proje Tutarı" totalsRowFunction="sum" totalsRowDxfId="77"/>
    <tableColumn id="5" xr3:uid="{00000000-0010-0000-0000-000005000000}" name="Önceki Yıllar Toplam Harcaması" totalsRowFunction="sum" totalsRowDxfId="76"/>
    <tableColumn id="6" xr3:uid="{00000000-0010-0000-0000-000006000000}" name="Yılı Harcama Tutarı" totalsRowFunction="sum" totalsRowDxfId="75"/>
    <tableColumn id="7" xr3:uid="{00000000-0010-0000-0000-000007000000}" name="Toplam Harcama Tutarı" totalsRowFunction="sum" totalsRowDxfId="74"/>
    <tableColumn id="8" xr3:uid="{00000000-0010-0000-0000-000008000000}" name="Nakdi Gerçekleşme Oranı" totalsRowLabel="33.6 %" totalsRowDxfId="73"/>
    <tableColumn id="9" xr3:uid="{00000000-0010-0000-0000-000009000000}" name="Yılı Harcama Oranı" totalsRowLabel="% 90.3" dataDxfId="72" totalsRowDxfId="71"/>
    <tableColumn id="10" xr3:uid="{00000000-0010-0000-0000-00000A000000}" name="Fiziki Gerçekleşme Oranı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D3B7F04-98D4-4991-A07E-EF204C6B50FB}" name="Table18" displayName="Table18" ref="A2:J20" totalsRowCount="1">
  <autoFilter ref="A2:J19" xr:uid="{00000000-0009-0000-0100-000001000000}"/>
  <tableColumns count="10">
    <tableColumn id="2" xr3:uid="{00000000-0010-0000-0000-000002000000}" name="Proje Adı" dataDxfId="59"/>
    <tableColumn id="6" xr3:uid="{00000000-0010-0000-0000-000006000000}" name="Toplam Yıl Ödeneği" totalsRowFunction="sum" totalsRowDxfId="58"/>
    <tableColumn id="7" xr3:uid="{00000000-0010-0000-0000-000007000000}" name="Toplam Proje Tutarı" totalsRowFunction="sum" totalsRowDxfId="57"/>
    <tableColumn id="8" xr3:uid="{00000000-0010-0000-0000-000008000000}" name="Önceki Yıllar Toplam Harcaması" totalsRowFunction="sum" totalsRowDxfId="56"/>
    <tableColumn id="9" xr3:uid="{00000000-0010-0000-0000-000009000000}" name="Yılı Harcama Tutarı" totalsRowFunction="sum" totalsRowDxfId="55"/>
    <tableColumn id="10" xr3:uid="{00000000-0010-0000-0000-00000A000000}" name="Toplam Harcama Tutarı" totalsRowFunction="sum" totalsRowDxfId="54"/>
    <tableColumn id="11" xr3:uid="{00000000-0010-0000-0000-00000B000000}" name="Nakdi Gerçekleşme Oranı" totalsRowLabel="%93,95" dataDxfId="53" totalsRowDxfId="52"/>
    <tableColumn id="12" xr3:uid="{00000000-0010-0000-0000-00000C000000}" name="Dönem Nakdi Gerçekleşme Oranı" totalsRowLabel="%23,66" dataDxfId="51" totalsRowDxfId="50"/>
    <tableColumn id="13" xr3:uid="{00000000-0010-0000-0000-00000D000000}" name="Yılı Harcama Oranı" totalsRowLabel="%70,04" dataDxfId="49" totalsRowDxfId="48"/>
    <tableColumn id="14" xr3:uid="{00000000-0010-0000-0000-00000E000000}" name="Fiziki Gerçekleşme Oranı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B0BAC30-27C9-4A20-8184-00ABA42A051D}" name="Table19" displayName="Table19" ref="A3:K13" totalsRowCount="1">
  <autoFilter ref="A3:K12" xr:uid="{00000000-0009-0000-0100-000001000000}"/>
  <tableColumns count="11">
    <tableColumn id="1" xr3:uid="{00000000-0010-0000-0000-000001000000}" name="Proje Adı" dataDxfId="47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A81B54B-6977-483B-AD39-8D7C25DAC9FC}" name="Table110" displayName="Table110" ref="A3:K185" totalsRowCount="1" headerRowDxfId="46">
  <autoFilter ref="A3:K184" xr:uid="{00000000-0009-0000-0100-000001000000}"/>
  <tableColumns count="11">
    <tableColumn id="1" xr3:uid="{00000000-0010-0000-0000-000001000000}" name="Proje Adı" dataDxfId="45" totalsRowDxfId="44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2AD4223-0799-4F1F-AD4B-6BD2556802F1}" name="Table111" displayName="Table111" ref="A2:K44" totalsRowCount="1" headerRowDxfId="43">
  <autoFilter ref="A2:K43" xr:uid="{00000000-0009-0000-0100-000001000000}"/>
  <tableColumns count="11">
    <tableColumn id="1" xr3:uid="{00000000-0010-0000-0000-000001000000}" name="Proje Adı" dataDxfId="42"/>
    <tableColumn id="2" xr3:uid="{00000000-0010-0000-0000-000002000000}" name="Toplam Yıl Ödeneği" totalsRowFunction="sum"/>
    <tableColumn id="3" xr3:uid="{00000000-0010-0000-0000-000003000000}" name="Toplam Proje Tutarı" totalsRowFunction="sum"/>
    <tableColumn id="4" xr3:uid="{00000000-0010-0000-0000-000004000000}" name="Önceki Yıllar Toplam Harcaması" totalsRowFunction="sum"/>
    <tableColumn id="5" xr3:uid="{00000000-0010-0000-0000-000005000000}" name="Yılı Harcama Tutarı" totalsRowFunction="sum"/>
    <tableColumn id="6" xr3:uid="{00000000-0010-0000-0000-000006000000}" name="Toplam Harcama Tutarı" totalsRowFunction="sum"/>
    <tableColumn id="7" xr3:uid="{00000000-0010-0000-0000-000007000000}" name="Nakdi Gerçekleşme Oranı"/>
    <tableColumn id="8" xr3:uid="{00000000-0010-0000-0000-000008000000}" name="Dönem Nakdi Gerçekleşme Oranı"/>
    <tableColumn id="9" xr3:uid="{00000000-0010-0000-0000-000009000000}" name="Yılı Harcama Oranı"/>
    <tableColumn id="10" xr3:uid="{00000000-0010-0000-0000-00000A000000}" name="Fiziki Gerçekleşme Oranı"/>
    <tableColumn id="12" xr3:uid="{00000000-0010-0000-0000-00000C000000}" name="İlçe Adı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F29C6-4F20-42B9-9804-61282E992A8C}">
  <sheetPr>
    <pageSetUpPr fitToPage="1"/>
  </sheetPr>
  <dimension ref="A1:K26"/>
  <sheetViews>
    <sheetView workbookViewId="0">
      <selection activeCell="M12" sqref="M12"/>
    </sheetView>
  </sheetViews>
  <sheetFormatPr defaultRowHeight="15" x14ac:dyDescent="0.25"/>
  <cols>
    <col min="1" max="1" width="40.42578125" customWidth="1"/>
    <col min="2" max="2" width="7.7109375" customWidth="1"/>
    <col min="3" max="3" width="12.7109375" customWidth="1"/>
    <col min="4" max="5" width="14.28515625" customWidth="1"/>
    <col min="6" max="6" width="12.85546875" customWidth="1"/>
    <col min="7" max="7" width="12.5703125" customWidth="1"/>
  </cols>
  <sheetData>
    <row r="1" spans="1:11" x14ac:dyDescent="0.25">
      <c r="A1" s="14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25">
      <c r="A4" s="11" t="s">
        <v>11</v>
      </c>
      <c r="B4" s="6">
        <v>1</v>
      </c>
      <c r="C4" s="6">
        <v>36749473</v>
      </c>
      <c r="D4" s="6">
        <v>189326000</v>
      </c>
      <c r="E4" s="6">
        <v>0</v>
      </c>
      <c r="F4" s="6">
        <v>0</v>
      </c>
      <c r="G4" s="6">
        <v>0</v>
      </c>
      <c r="H4" s="7">
        <v>0</v>
      </c>
      <c r="I4" s="10">
        <v>0</v>
      </c>
      <c r="J4" s="10">
        <v>0</v>
      </c>
      <c r="K4" s="10">
        <v>0</v>
      </c>
    </row>
    <row r="5" spans="1:11" x14ac:dyDescent="0.25">
      <c r="A5" s="11" t="s">
        <v>12</v>
      </c>
      <c r="B5" s="6">
        <v>2</v>
      </c>
      <c r="C5" s="6">
        <v>502000</v>
      </c>
      <c r="D5" s="6">
        <v>32400000</v>
      </c>
      <c r="E5" s="6">
        <v>27000</v>
      </c>
      <c r="F5" s="6">
        <v>0</v>
      </c>
      <c r="G5" s="6">
        <v>27000</v>
      </c>
      <c r="H5" s="7">
        <v>8.3333333333333295E-4</v>
      </c>
      <c r="I5" s="10">
        <v>0</v>
      </c>
      <c r="J5" s="10">
        <v>0</v>
      </c>
      <c r="K5" s="10">
        <v>0</v>
      </c>
    </row>
    <row r="6" spans="1:11" ht="30" x14ac:dyDescent="0.25">
      <c r="A6" s="11" t="s">
        <v>13</v>
      </c>
      <c r="B6" s="6">
        <v>5</v>
      </c>
      <c r="C6" s="6">
        <v>560900</v>
      </c>
      <c r="D6" s="6">
        <v>396860000</v>
      </c>
      <c r="E6" s="6">
        <v>3481550</v>
      </c>
      <c r="F6" s="6">
        <v>440000</v>
      </c>
      <c r="G6" s="6">
        <v>3921550</v>
      </c>
      <c r="H6" s="7">
        <v>9.8814443380537201E-3</v>
      </c>
      <c r="I6" s="10">
        <v>0.78445355678373996</v>
      </c>
      <c r="J6" s="10">
        <v>0.78445355678373996</v>
      </c>
      <c r="K6" s="10">
        <v>0.52500000000000002</v>
      </c>
    </row>
    <row r="7" spans="1:11" x14ac:dyDescent="0.25">
      <c r="A7" s="11" t="s">
        <v>14</v>
      </c>
      <c r="B7" s="6">
        <v>41</v>
      </c>
      <c r="C7" s="6">
        <v>93262572</v>
      </c>
      <c r="D7" s="6">
        <v>2677555447</v>
      </c>
      <c r="E7" s="6">
        <v>137836305</v>
      </c>
      <c r="F7" s="6">
        <v>93261760</v>
      </c>
      <c r="G7" s="6">
        <v>231098065</v>
      </c>
      <c r="H7" s="7">
        <v>8.6309348050636295E-2</v>
      </c>
      <c r="I7" s="10">
        <v>0.56978350329004401</v>
      </c>
      <c r="J7" s="10">
        <v>0.99999129339902804</v>
      </c>
      <c r="K7" s="10">
        <v>0.23100000000000001</v>
      </c>
    </row>
    <row r="8" spans="1:11" x14ac:dyDescent="0.25">
      <c r="A8" s="11" t="s">
        <v>15</v>
      </c>
      <c r="B8" s="6">
        <v>21</v>
      </c>
      <c r="C8" s="6">
        <v>12068642.76</v>
      </c>
      <c r="D8" s="6">
        <v>123287955.75</v>
      </c>
      <c r="E8" s="6">
        <v>4150340.68</v>
      </c>
      <c r="F8" s="6">
        <v>9649627.8100000005</v>
      </c>
      <c r="G8" s="6">
        <v>13799968.49</v>
      </c>
      <c r="H8" s="7">
        <v>0.11193281943925799</v>
      </c>
      <c r="I8" s="10">
        <v>0.63295385420787798</v>
      </c>
      <c r="J8" s="10">
        <v>0.79956197245165594</v>
      </c>
      <c r="K8" s="10">
        <v>0.39797101449275402</v>
      </c>
    </row>
    <row r="9" spans="1:11" ht="19.5" customHeight="1" x14ac:dyDescent="0.25">
      <c r="A9" s="11" t="s">
        <v>16</v>
      </c>
      <c r="B9" s="6">
        <v>25</v>
      </c>
      <c r="C9" s="6">
        <v>9302367.6500000004</v>
      </c>
      <c r="D9" s="6">
        <v>66804379.649999999</v>
      </c>
      <c r="E9" s="6">
        <v>0</v>
      </c>
      <c r="F9" s="6">
        <v>9302367.6500000004</v>
      </c>
      <c r="G9" s="6">
        <v>9302367.6500000004</v>
      </c>
      <c r="H9" s="7">
        <v>0.13924787115360901</v>
      </c>
      <c r="I9" s="10">
        <v>0.44161662326902301</v>
      </c>
      <c r="J9" s="10">
        <v>1</v>
      </c>
      <c r="K9" s="10">
        <v>0.96</v>
      </c>
    </row>
    <row r="10" spans="1:11" x14ac:dyDescent="0.25">
      <c r="A10" s="11" t="s">
        <v>17</v>
      </c>
      <c r="B10" s="6">
        <v>3</v>
      </c>
      <c r="C10" s="6">
        <v>301490</v>
      </c>
      <c r="D10" s="6">
        <v>1103840</v>
      </c>
      <c r="E10" s="6">
        <v>0</v>
      </c>
      <c r="F10" s="6">
        <v>301440</v>
      </c>
      <c r="G10" s="6">
        <v>301440</v>
      </c>
      <c r="H10" s="7">
        <v>0.27308305551529199</v>
      </c>
      <c r="I10" s="10">
        <v>0</v>
      </c>
      <c r="J10" s="10">
        <v>0.99983415702013301</v>
      </c>
      <c r="K10" s="10">
        <v>0.89444444444444404</v>
      </c>
    </row>
    <row r="11" spans="1:11" x14ac:dyDescent="0.25">
      <c r="A11" s="11" t="s">
        <v>18</v>
      </c>
      <c r="B11" s="6">
        <v>22</v>
      </c>
      <c r="C11" s="6">
        <v>793586849.30999994</v>
      </c>
      <c r="D11" s="6">
        <v>11122051919.440001</v>
      </c>
      <c r="E11" s="6">
        <v>3135492803.98</v>
      </c>
      <c r="F11" s="6">
        <v>793327276.63</v>
      </c>
      <c r="G11" s="6">
        <v>3928820080.6100001</v>
      </c>
      <c r="H11" s="7">
        <v>0.35324597556885201</v>
      </c>
      <c r="I11" s="10">
        <v>0.72170279852542296</v>
      </c>
      <c r="J11" s="10">
        <v>0.99967291206976805</v>
      </c>
      <c r="K11" s="10">
        <v>0.47831325301204802</v>
      </c>
    </row>
    <row r="12" spans="1:11" ht="30" x14ac:dyDescent="0.25">
      <c r="A12" s="11" t="s">
        <v>63</v>
      </c>
      <c r="B12" s="6">
        <v>1</v>
      </c>
      <c r="C12" s="6">
        <v>116000</v>
      </c>
      <c r="D12" s="6">
        <v>304440</v>
      </c>
      <c r="E12" s="6">
        <v>0</v>
      </c>
      <c r="F12" s="6">
        <v>115687</v>
      </c>
      <c r="G12" s="6">
        <v>115687</v>
      </c>
      <c r="H12" s="7">
        <v>0.379999343056103</v>
      </c>
      <c r="I12" s="10">
        <v>0.99730172413793094</v>
      </c>
      <c r="J12" s="10">
        <v>0.99730172413793094</v>
      </c>
      <c r="K12" s="10">
        <v>0.38</v>
      </c>
    </row>
    <row r="13" spans="1:11" x14ac:dyDescent="0.25">
      <c r="A13" s="11" t="s">
        <v>62</v>
      </c>
      <c r="B13" s="6">
        <v>9</v>
      </c>
      <c r="C13" s="6">
        <v>34131007.859999999</v>
      </c>
      <c r="D13" s="6">
        <v>97267007.870000005</v>
      </c>
      <c r="E13" s="6">
        <v>22314861.690000001</v>
      </c>
      <c r="F13" s="6">
        <v>14678425.25</v>
      </c>
      <c r="G13" s="6">
        <v>36993286.939999998</v>
      </c>
      <c r="H13" s="7">
        <v>0.38032718133411197</v>
      </c>
      <c r="I13" s="10">
        <v>0.28740378339357903</v>
      </c>
      <c r="J13" s="10">
        <v>0.43006128943535998</v>
      </c>
      <c r="K13" s="10">
        <v>0.55777777777777804</v>
      </c>
    </row>
    <row r="14" spans="1:11" x14ac:dyDescent="0.25">
      <c r="A14" s="11" t="s">
        <v>21</v>
      </c>
      <c r="B14" s="6">
        <v>34</v>
      </c>
      <c r="C14" s="6">
        <v>157151362</v>
      </c>
      <c r="D14" s="6">
        <v>294046127</v>
      </c>
      <c r="E14" s="6">
        <v>11283160</v>
      </c>
      <c r="F14" s="6">
        <v>113216216</v>
      </c>
      <c r="G14" s="6">
        <v>124499376</v>
      </c>
      <c r="H14" s="7">
        <v>0.423400836019173</v>
      </c>
      <c r="I14" s="10">
        <v>0.42133314122979099</v>
      </c>
      <c r="J14" s="10">
        <v>0.72042783822643597</v>
      </c>
      <c r="K14" s="10">
        <v>0.72213740458015296</v>
      </c>
    </row>
    <row r="15" spans="1:11" ht="18.75" customHeight="1" x14ac:dyDescent="0.25">
      <c r="A15" s="11" t="s">
        <v>22</v>
      </c>
      <c r="B15" s="6">
        <v>12</v>
      </c>
      <c r="C15" s="6">
        <v>59396557.020000003</v>
      </c>
      <c r="D15" s="6">
        <v>325179913.86000001</v>
      </c>
      <c r="E15" s="6">
        <v>151747402.25</v>
      </c>
      <c r="F15" s="6">
        <v>50244823.850000001</v>
      </c>
      <c r="G15" s="6">
        <v>201992226.09999999</v>
      </c>
      <c r="H15" s="7">
        <v>0.621170673496653</v>
      </c>
      <c r="I15" s="10">
        <v>0.27822020280461002</v>
      </c>
      <c r="J15" s="10">
        <v>0.84592148721821603</v>
      </c>
      <c r="K15" s="10">
        <v>0.80777777777777804</v>
      </c>
    </row>
    <row r="16" spans="1:11" ht="16.5" customHeight="1" x14ac:dyDescent="0.25">
      <c r="A16" s="11" t="s">
        <v>23</v>
      </c>
      <c r="B16" s="6">
        <v>4</v>
      </c>
      <c r="C16" s="6">
        <v>21673293.960000001</v>
      </c>
      <c r="D16" s="6">
        <v>48099974.530000001</v>
      </c>
      <c r="E16" s="6">
        <v>17851809.84</v>
      </c>
      <c r="F16" s="6">
        <v>16829981.530000001</v>
      </c>
      <c r="G16" s="6">
        <v>34681791.369999997</v>
      </c>
      <c r="H16" s="7">
        <v>0.72103554542152504</v>
      </c>
      <c r="I16" s="10">
        <v>0.42225939706674898</v>
      </c>
      <c r="J16" s="10">
        <v>0.77653085687211298</v>
      </c>
      <c r="K16" s="10">
        <v>0.76</v>
      </c>
    </row>
    <row r="17" spans="1:11" x14ac:dyDescent="0.25">
      <c r="A17" s="11" t="s">
        <v>33</v>
      </c>
      <c r="B17" s="6">
        <v>468</v>
      </c>
      <c r="C17" s="6">
        <v>152888457.84999999</v>
      </c>
      <c r="D17" s="6">
        <v>204276316.28999999</v>
      </c>
      <c r="E17" s="6">
        <v>4029899</v>
      </c>
      <c r="F17" s="6">
        <v>146358921.91</v>
      </c>
      <c r="G17" s="6">
        <v>150388820.91</v>
      </c>
      <c r="H17" s="7">
        <v>0.73620292181351599</v>
      </c>
      <c r="I17" s="10">
        <v>0.76843737239645404</v>
      </c>
      <c r="J17" s="10">
        <v>0.95729215905620402</v>
      </c>
      <c r="K17" s="10">
        <v>0.95973895582329305</v>
      </c>
    </row>
    <row r="18" spans="1:11" x14ac:dyDescent="0.25">
      <c r="A18" s="11" t="s">
        <v>24</v>
      </c>
      <c r="B18" s="6">
        <v>12</v>
      </c>
      <c r="C18" s="6">
        <v>151184481.03</v>
      </c>
      <c r="D18" s="6">
        <v>546318260.00999999</v>
      </c>
      <c r="E18" s="6">
        <v>322157152.81999999</v>
      </c>
      <c r="F18" s="6">
        <v>137640089.69</v>
      </c>
      <c r="G18" s="6">
        <v>459797242.50999999</v>
      </c>
      <c r="H18" s="7">
        <v>0.841628911509536</v>
      </c>
      <c r="I18" s="10">
        <v>0.26756464436302202</v>
      </c>
      <c r="J18" s="10">
        <v>0.91041149694913204</v>
      </c>
      <c r="K18" s="10">
        <v>0.194893617021277</v>
      </c>
    </row>
    <row r="19" spans="1:11" ht="15.75" customHeight="1" x14ac:dyDescent="0.25">
      <c r="A19" s="11" t="s">
        <v>25</v>
      </c>
      <c r="B19" s="6">
        <v>4</v>
      </c>
      <c r="C19" s="6">
        <v>78809602.349999994</v>
      </c>
      <c r="D19" s="6">
        <v>85859686.400000006</v>
      </c>
      <c r="E19" s="6">
        <v>6371472.29</v>
      </c>
      <c r="F19" s="6">
        <v>67609163.709999993</v>
      </c>
      <c r="G19" s="6">
        <v>73980636</v>
      </c>
      <c r="H19" s="7">
        <v>0.86164577465775605</v>
      </c>
      <c r="I19" s="10">
        <v>0.65270094450616101</v>
      </c>
      <c r="J19" s="10">
        <v>0.85787977218489297</v>
      </c>
      <c r="K19" s="10">
        <v>0.71750000000000003</v>
      </c>
    </row>
    <row r="20" spans="1:11" x14ac:dyDescent="0.25">
      <c r="A20" s="11" t="s">
        <v>26</v>
      </c>
      <c r="B20" s="6">
        <v>1</v>
      </c>
      <c r="C20" s="6">
        <v>9123000</v>
      </c>
      <c r="D20" s="6">
        <v>147125000</v>
      </c>
      <c r="E20" s="6">
        <v>118778000</v>
      </c>
      <c r="F20" s="6">
        <v>9123000</v>
      </c>
      <c r="G20" s="6">
        <v>127901000</v>
      </c>
      <c r="H20" s="7">
        <v>0.86933559898045898</v>
      </c>
      <c r="I20" s="10">
        <v>0</v>
      </c>
      <c r="J20" s="10">
        <v>1</v>
      </c>
      <c r="K20" s="10">
        <v>0.7</v>
      </c>
    </row>
    <row r="21" spans="1:11" x14ac:dyDescent="0.25">
      <c r="A21" s="11" t="s">
        <v>27</v>
      </c>
      <c r="B21" s="6">
        <v>6</v>
      </c>
      <c r="C21" s="6">
        <v>10430372</v>
      </c>
      <c r="D21" s="6">
        <v>10430372</v>
      </c>
      <c r="E21" s="6">
        <v>0</v>
      </c>
      <c r="F21" s="6">
        <v>9613164</v>
      </c>
      <c r="G21" s="6">
        <v>9613164</v>
      </c>
      <c r="H21" s="7">
        <v>0.92165111656612098</v>
      </c>
      <c r="I21" s="10">
        <v>0.40316529458393202</v>
      </c>
      <c r="J21" s="10">
        <v>0.92165111656612098</v>
      </c>
      <c r="K21" s="10">
        <v>1</v>
      </c>
    </row>
    <row r="22" spans="1:11" x14ac:dyDescent="0.25">
      <c r="A22" s="11" t="s">
        <v>61</v>
      </c>
      <c r="B22" s="6">
        <v>5</v>
      </c>
      <c r="C22" s="6">
        <v>5169195.92</v>
      </c>
      <c r="D22" s="6">
        <v>5169195.92</v>
      </c>
      <c r="E22" s="6">
        <v>0</v>
      </c>
      <c r="F22" s="6">
        <v>4834703.26</v>
      </c>
      <c r="G22" s="6">
        <v>4834703.26</v>
      </c>
      <c r="H22" s="7">
        <v>0.93529116226649001</v>
      </c>
      <c r="I22" s="10">
        <v>0.70720984783258101</v>
      </c>
      <c r="J22" s="10">
        <v>0.93529116226649001</v>
      </c>
      <c r="K22" s="10">
        <v>0.6</v>
      </c>
    </row>
    <row r="23" spans="1:11" x14ac:dyDescent="0.25">
      <c r="A23" s="11" t="s">
        <v>34</v>
      </c>
      <c r="B23" s="6">
        <v>17</v>
      </c>
      <c r="C23" s="6">
        <v>33146711.66</v>
      </c>
      <c r="D23" s="6">
        <v>164040121.58000001</v>
      </c>
      <c r="E23" s="6">
        <v>130893409.92</v>
      </c>
      <c r="F23" s="6">
        <v>23215394.289999999</v>
      </c>
      <c r="G23" s="6">
        <v>154108804.21000001</v>
      </c>
      <c r="H23" s="7">
        <v>0.93945799799254204</v>
      </c>
      <c r="I23" s="10">
        <v>0.23664646497848099</v>
      </c>
      <c r="J23" s="10">
        <v>0.70038302828136401</v>
      </c>
      <c r="K23" s="10">
        <v>0.98031746031746003</v>
      </c>
    </row>
    <row r="24" spans="1:11" x14ac:dyDescent="0.25">
      <c r="A24" s="11" t="s">
        <v>29</v>
      </c>
      <c r="B24" s="6">
        <v>2</v>
      </c>
      <c r="C24" s="6">
        <v>3021700</v>
      </c>
      <c r="D24" s="6">
        <v>3021700</v>
      </c>
      <c r="E24" s="6">
        <v>0</v>
      </c>
      <c r="F24" s="6">
        <v>2945000</v>
      </c>
      <c r="G24" s="6">
        <v>2945000</v>
      </c>
      <c r="H24" s="7">
        <v>0.97461693748552103</v>
      </c>
      <c r="I24" s="10">
        <v>0.97461693748552103</v>
      </c>
      <c r="J24" s="10">
        <v>0.97461693748552103</v>
      </c>
      <c r="K24" s="10">
        <v>0.5</v>
      </c>
    </row>
    <row r="25" spans="1:11" x14ac:dyDescent="0.25">
      <c r="A25" s="11" t="s">
        <v>60</v>
      </c>
      <c r="B25" s="6">
        <v>1</v>
      </c>
      <c r="C25" s="6">
        <v>1059124.3</v>
      </c>
      <c r="D25" s="6">
        <v>1620373.3</v>
      </c>
      <c r="E25" s="6">
        <v>561249</v>
      </c>
      <c r="F25" s="6">
        <v>1059124.3</v>
      </c>
      <c r="G25" s="6">
        <v>1620373.3</v>
      </c>
      <c r="H25" s="7">
        <v>1</v>
      </c>
      <c r="I25" s="10">
        <v>0.67391921798036403</v>
      </c>
      <c r="J25" s="10">
        <v>1</v>
      </c>
      <c r="K25" s="10">
        <v>1</v>
      </c>
    </row>
    <row r="26" spans="1:11" x14ac:dyDescent="0.25">
      <c r="B26" s="6">
        <f>SUBTOTAL(109,Table17[Proje Sayısı])</f>
        <v>696</v>
      </c>
      <c r="C26" s="6">
        <f>SUBTOTAL(109,Table17[Toplam Yıl Ödeneği])</f>
        <v>1663635160.6699998</v>
      </c>
      <c r="D26" s="6">
        <f>SUBTOTAL(109,Table17[Toplam Proje Tutarı])</f>
        <v>16542148030.600002</v>
      </c>
      <c r="E26" s="6">
        <f>SUBTOTAL(109,Table17[Önceki Yıllar Toplam Harcaması])</f>
        <v>4066976416.4700003</v>
      </c>
      <c r="F26" s="6">
        <f>SUBTOTAL(109,Table17[Yılı Harcama Tutarı])</f>
        <v>1503766166.8800001</v>
      </c>
      <c r="G26" s="6">
        <f>SUBTOTAL(109,Table17[Toplam Harcama Tutarı])</f>
        <v>5570742583.3500013</v>
      </c>
      <c r="H26" s="12" t="s">
        <v>47</v>
      </c>
      <c r="I26" t="s">
        <v>31</v>
      </c>
      <c r="J26" t="s">
        <v>31</v>
      </c>
    </row>
  </sheetData>
  <mergeCells count="1">
    <mergeCell ref="A1:K1"/>
  </mergeCells>
  <pageMargins left="0.7" right="0.7" top="0.75" bottom="0.75" header="0.3" footer="0.3"/>
  <pageSetup paperSize="9" scale="86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10959-12C1-452F-A6BE-B38FC64A1B96}">
  <dimension ref="A1:K26"/>
  <sheetViews>
    <sheetView workbookViewId="0">
      <selection activeCell="L1" sqref="L1"/>
    </sheetView>
  </sheetViews>
  <sheetFormatPr defaultRowHeight="15" x14ac:dyDescent="0.25"/>
  <cols>
    <col min="1" max="1" width="39" customWidth="1"/>
    <col min="2" max="2" width="11.5703125" customWidth="1"/>
    <col min="3" max="3" width="14.42578125" customWidth="1"/>
    <col min="4" max="4" width="13.42578125" customWidth="1"/>
    <col min="5" max="5" width="11.42578125" customWidth="1"/>
    <col min="6" max="6" width="14.140625" customWidth="1"/>
  </cols>
  <sheetData>
    <row r="1" spans="1:1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1" ht="75" x14ac:dyDescent="0.25">
      <c r="A4" s="11" t="s">
        <v>343</v>
      </c>
      <c r="B4" s="6">
        <v>1931997.98</v>
      </c>
      <c r="C4" s="6">
        <v>190000000</v>
      </c>
      <c r="D4" s="6">
        <v>2500118.46</v>
      </c>
      <c r="E4" s="6">
        <v>1931997.98</v>
      </c>
      <c r="F4" s="6">
        <v>4432116.4400000004</v>
      </c>
      <c r="G4" s="7">
        <v>2.3326928631578901E-2</v>
      </c>
      <c r="H4" s="10">
        <v>1</v>
      </c>
      <c r="I4" s="10">
        <v>1</v>
      </c>
      <c r="J4" s="10">
        <v>0.03</v>
      </c>
      <c r="K4" t="s">
        <v>40</v>
      </c>
    </row>
    <row r="5" spans="1:11" ht="30" x14ac:dyDescent="0.25">
      <c r="A5" s="11" t="s">
        <v>342</v>
      </c>
      <c r="B5" s="6">
        <v>78782492.409999996</v>
      </c>
      <c r="C5" s="6">
        <v>78782492.409999996</v>
      </c>
      <c r="D5" s="6">
        <v>0</v>
      </c>
      <c r="E5" s="6">
        <v>78782492.409999996</v>
      </c>
      <c r="F5" s="6">
        <v>78782492.409999996</v>
      </c>
      <c r="G5" s="7">
        <v>1</v>
      </c>
      <c r="H5" s="10">
        <v>0.57006523830540001</v>
      </c>
      <c r="I5" s="10">
        <v>1</v>
      </c>
      <c r="J5" s="10">
        <v>1</v>
      </c>
      <c r="K5" t="s">
        <v>39</v>
      </c>
    </row>
    <row r="6" spans="1:11" ht="45" x14ac:dyDescent="0.25">
      <c r="A6" s="11" t="s">
        <v>341</v>
      </c>
      <c r="B6" s="6">
        <v>12966778.42</v>
      </c>
      <c r="C6" s="6">
        <v>95000000</v>
      </c>
      <c r="D6" s="6">
        <v>27428639.309999999</v>
      </c>
      <c r="E6" s="6">
        <v>12966778.42</v>
      </c>
      <c r="F6" s="6">
        <v>40395417.729999997</v>
      </c>
      <c r="G6" s="7">
        <v>0.425214923473684</v>
      </c>
      <c r="H6" s="10">
        <v>0.63701091377174901</v>
      </c>
      <c r="I6" s="10">
        <v>1</v>
      </c>
      <c r="J6" s="10">
        <v>0.55000000000000004</v>
      </c>
      <c r="K6" t="s">
        <v>309</v>
      </c>
    </row>
    <row r="7" spans="1:11" ht="66" customHeight="1" x14ac:dyDescent="0.25">
      <c r="A7" s="11" t="s">
        <v>340</v>
      </c>
      <c r="B7" s="6">
        <v>9268000</v>
      </c>
      <c r="C7" s="6">
        <v>239000000</v>
      </c>
      <c r="D7" s="6">
        <v>92270863.379999995</v>
      </c>
      <c r="E7" s="6">
        <v>9021990.6999999993</v>
      </c>
      <c r="F7" s="6">
        <v>101292854.08</v>
      </c>
      <c r="G7" s="7">
        <v>0.423819473138075</v>
      </c>
      <c r="H7" s="10">
        <v>0.46655142101855801</v>
      </c>
      <c r="I7" s="10">
        <v>0.97345605308588701</v>
      </c>
      <c r="J7" s="10">
        <v>0.56000000000000005</v>
      </c>
      <c r="K7" t="s">
        <v>309</v>
      </c>
    </row>
    <row r="8" spans="1:11" x14ac:dyDescent="0.25">
      <c r="A8" s="11" t="s">
        <v>339</v>
      </c>
      <c r="B8" s="6">
        <v>30411581.989999998</v>
      </c>
      <c r="C8" s="6">
        <v>2124715310.1900001</v>
      </c>
      <c r="D8" s="6">
        <v>2094303728.2</v>
      </c>
      <c r="E8" s="6">
        <v>30411581.989999998</v>
      </c>
      <c r="F8" s="6">
        <v>2124715310.1900001</v>
      </c>
      <c r="G8" s="7">
        <v>1</v>
      </c>
      <c r="H8" s="10">
        <v>1</v>
      </c>
      <c r="I8" s="10">
        <v>1</v>
      </c>
      <c r="J8" s="10">
        <v>1</v>
      </c>
      <c r="K8" t="s">
        <v>309</v>
      </c>
    </row>
    <row r="9" spans="1:11" ht="30" x14ac:dyDescent="0.25">
      <c r="A9" s="11" t="s">
        <v>338</v>
      </c>
      <c r="B9" s="6">
        <v>693995.25</v>
      </c>
      <c r="C9" s="6">
        <v>693995.25</v>
      </c>
      <c r="D9" s="6">
        <v>0</v>
      </c>
      <c r="E9" s="6">
        <v>693995.25</v>
      </c>
      <c r="F9" s="6">
        <v>693995.25</v>
      </c>
      <c r="G9" s="7">
        <v>1</v>
      </c>
      <c r="H9" s="10">
        <v>0.52818762088069005</v>
      </c>
      <c r="I9" s="10">
        <v>1</v>
      </c>
      <c r="J9" s="10">
        <v>1</v>
      </c>
      <c r="K9" t="s">
        <v>39</v>
      </c>
    </row>
    <row r="10" spans="1:11" x14ac:dyDescent="0.25">
      <c r="A10" s="11" t="s">
        <v>337</v>
      </c>
      <c r="B10" s="6">
        <v>563.38</v>
      </c>
      <c r="C10" s="6">
        <v>733652213.51999998</v>
      </c>
      <c r="D10" s="6">
        <v>0</v>
      </c>
      <c r="E10" s="6">
        <v>0</v>
      </c>
      <c r="F10" s="6">
        <v>0</v>
      </c>
      <c r="G10" s="7">
        <v>0</v>
      </c>
      <c r="H10" s="10">
        <v>0</v>
      </c>
      <c r="I10" s="10">
        <v>0</v>
      </c>
      <c r="J10" s="10">
        <v>0</v>
      </c>
      <c r="K10" t="s">
        <v>40</v>
      </c>
    </row>
    <row r="11" spans="1:11" ht="45" x14ac:dyDescent="0.25">
      <c r="A11" s="11" t="s">
        <v>336</v>
      </c>
      <c r="B11" s="6">
        <v>5338977.87</v>
      </c>
      <c r="C11" s="6">
        <v>5338977.87</v>
      </c>
      <c r="D11" s="6">
        <v>0</v>
      </c>
      <c r="E11" s="6">
        <v>5338977.87</v>
      </c>
      <c r="F11" s="6">
        <v>5338977.87</v>
      </c>
      <c r="G11" s="7">
        <v>1</v>
      </c>
      <c r="H11" s="10">
        <v>0.63864167693206797</v>
      </c>
      <c r="I11" s="10">
        <v>1</v>
      </c>
      <c r="J11" s="10">
        <v>1</v>
      </c>
      <c r="K11" t="s">
        <v>39</v>
      </c>
    </row>
    <row r="12" spans="1:11" ht="30" x14ac:dyDescent="0.25">
      <c r="A12" s="11" t="s">
        <v>335</v>
      </c>
      <c r="B12" s="6">
        <v>2080507.44</v>
      </c>
      <c r="C12" s="6">
        <v>2080507.44</v>
      </c>
      <c r="D12" s="6">
        <v>0</v>
      </c>
      <c r="E12" s="6">
        <v>2080507.44</v>
      </c>
      <c r="F12" s="6">
        <v>2080507.44</v>
      </c>
      <c r="G12" s="7">
        <v>1</v>
      </c>
      <c r="H12" s="10">
        <v>0.36288038941115203</v>
      </c>
      <c r="I12" s="10">
        <v>1</v>
      </c>
      <c r="J12" s="10">
        <v>1</v>
      </c>
      <c r="K12" t="s">
        <v>39</v>
      </c>
    </row>
    <row r="13" spans="1:11" ht="60" x14ac:dyDescent="0.25">
      <c r="A13" s="11" t="s">
        <v>334</v>
      </c>
      <c r="B13" s="6">
        <v>8320889.8799999999</v>
      </c>
      <c r="C13" s="6">
        <v>20000000</v>
      </c>
      <c r="D13" s="6">
        <v>0</v>
      </c>
      <c r="E13" s="6">
        <v>8320889.8799999999</v>
      </c>
      <c r="F13" s="6">
        <v>8320889.8799999999</v>
      </c>
      <c r="G13" s="7">
        <v>0.41604449399999999</v>
      </c>
      <c r="H13" s="10">
        <v>1</v>
      </c>
      <c r="I13" s="10">
        <v>1</v>
      </c>
      <c r="J13" s="10">
        <v>0.42</v>
      </c>
      <c r="K13" t="s">
        <v>38</v>
      </c>
    </row>
    <row r="14" spans="1:11" ht="60" x14ac:dyDescent="0.25">
      <c r="A14" s="11" t="s">
        <v>333</v>
      </c>
      <c r="B14" s="6">
        <v>0</v>
      </c>
      <c r="C14" s="6">
        <v>8000000</v>
      </c>
      <c r="D14" s="6">
        <v>0</v>
      </c>
      <c r="E14" s="6">
        <v>0</v>
      </c>
      <c r="F14" s="6">
        <v>0</v>
      </c>
      <c r="G14" s="7">
        <v>0</v>
      </c>
      <c r="H14" s="10">
        <v>0</v>
      </c>
      <c r="I14" s="10">
        <v>0</v>
      </c>
      <c r="J14" s="10">
        <v>0</v>
      </c>
      <c r="K14" t="s">
        <v>42</v>
      </c>
    </row>
    <row r="15" spans="1:11" ht="45" x14ac:dyDescent="0.25">
      <c r="A15" s="11" t="s">
        <v>332</v>
      </c>
      <c r="B15" s="6">
        <v>0</v>
      </c>
      <c r="C15" s="6">
        <v>12000000</v>
      </c>
      <c r="D15" s="6">
        <v>0</v>
      </c>
      <c r="E15" s="6">
        <v>0</v>
      </c>
      <c r="F15" s="6">
        <v>0</v>
      </c>
      <c r="G15" s="7">
        <v>0</v>
      </c>
      <c r="H15" s="10">
        <v>0</v>
      </c>
      <c r="I15" s="10">
        <v>0</v>
      </c>
      <c r="J15" s="10">
        <v>0</v>
      </c>
      <c r="K15" t="s">
        <v>38</v>
      </c>
    </row>
    <row r="16" spans="1:11" ht="30" x14ac:dyDescent="0.25">
      <c r="A16" s="11" t="s">
        <v>331</v>
      </c>
      <c r="B16" s="6">
        <v>2000</v>
      </c>
      <c r="C16" s="6">
        <v>25000000</v>
      </c>
      <c r="D16" s="6">
        <v>0</v>
      </c>
      <c r="E16" s="6">
        <v>0</v>
      </c>
      <c r="F16" s="6">
        <v>0</v>
      </c>
      <c r="G16" s="7">
        <v>0</v>
      </c>
      <c r="H16" s="10">
        <v>0</v>
      </c>
      <c r="I16" s="10">
        <v>0</v>
      </c>
      <c r="J16" s="10">
        <v>0</v>
      </c>
      <c r="K16" t="s">
        <v>309</v>
      </c>
    </row>
    <row r="17" spans="1:11" ht="75" x14ac:dyDescent="0.25">
      <c r="A17" s="11" t="s">
        <v>330</v>
      </c>
      <c r="B17" s="6">
        <v>120092996.5</v>
      </c>
      <c r="C17" s="6">
        <v>4112000000</v>
      </c>
      <c r="D17" s="6">
        <v>211618489.87</v>
      </c>
      <c r="E17" s="6">
        <v>120092996.5</v>
      </c>
      <c r="F17" s="6">
        <v>331711486.37</v>
      </c>
      <c r="G17" s="7">
        <v>8.0669135790369606E-2</v>
      </c>
      <c r="H17" s="10">
        <v>0.79054566408458304</v>
      </c>
      <c r="I17" s="10">
        <v>1</v>
      </c>
      <c r="J17" s="10">
        <v>0.08</v>
      </c>
      <c r="K17" t="s">
        <v>38</v>
      </c>
    </row>
    <row r="18" spans="1:11" ht="75" x14ac:dyDescent="0.25">
      <c r="A18" s="11" t="s">
        <v>329</v>
      </c>
      <c r="B18" s="6">
        <v>127169995.56999999</v>
      </c>
      <c r="C18" s="6">
        <v>1297000000</v>
      </c>
      <c r="D18" s="6">
        <v>0</v>
      </c>
      <c r="E18" s="6">
        <v>127169995.56999999</v>
      </c>
      <c r="F18" s="6">
        <v>127169995.56999999</v>
      </c>
      <c r="G18" s="7">
        <v>9.8049341225905903E-2</v>
      </c>
      <c r="H18" s="10">
        <v>0.83945900549503305</v>
      </c>
      <c r="I18" s="10">
        <v>1</v>
      </c>
      <c r="J18" s="10">
        <v>0.1</v>
      </c>
      <c r="K18" t="s">
        <v>309</v>
      </c>
    </row>
    <row r="19" spans="1:11" ht="45" x14ac:dyDescent="0.25">
      <c r="A19" s="11" t="s">
        <v>328</v>
      </c>
      <c r="B19" s="6">
        <v>19856996.760000002</v>
      </c>
      <c r="C19" s="6">
        <v>307000000</v>
      </c>
      <c r="D19" s="6">
        <v>1492290.19</v>
      </c>
      <c r="E19" s="6">
        <v>19856996.760000002</v>
      </c>
      <c r="F19" s="6">
        <v>21349286.949999999</v>
      </c>
      <c r="G19" s="7">
        <v>6.9541651302931606E-2</v>
      </c>
      <c r="H19" s="10">
        <v>0.93382685982771896</v>
      </c>
      <c r="I19" s="10">
        <v>1</v>
      </c>
      <c r="J19" s="10">
        <v>7.0000000000000007E-2</v>
      </c>
      <c r="K19" t="s">
        <v>39</v>
      </c>
    </row>
    <row r="20" spans="1:11" x14ac:dyDescent="0.25">
      <c r="A20" s="11" t="s">
        <v>327</v>
      </c>
      <c r="B20" s="6">
        <v>11000</v>
      </c>
      <c r="C20" s="6">
        <v>68193466</v>
      </c>
      <c r="D20" s="6">
        <v>0</v>
      </c>
      <c r="E20" s="6">
        <v>0</v>
      </c>
      <c r="F20" s="6">
        <v>0</v>
      </c>
      <c r="G20" s="7">
        <v>0</v>
      </c>
      <c r="H20" s="10">
        <v>0</v>
      </c>
      <c r="I20" s="10">
        <v>0</v>
      </c>
      <c r="J20" s="10">
        <v>0</v>
      </c>
      <c r="K20" t="s">
        <v>309</v>
      </c>
    </row>
    <row r="21" spans="1:11" ht="75" x14ac:dyDescent="0.25">
      <c r="A21" s="11" t="s">
        <v>326</v>
      </c>
      <c r="B21" s="6">
        <v>300114539.5</v>
      </c>
      <c r="C21" s="6">
        <v>1526000000</v>
      </c>
      <c r="D21" s="6">
        <v>663556402.15999997</v>
      </c>
      <c r="E21" s="6">
        <v>300114539.5</v>
      </c>
      <c r="F21" s="6">
        <v>963670941.65999997</v>
      </c>
      <c r="G21" s="7">
        <v>0.63150127238532106</v>
      </c>
      <c r="H21" s="10">
        <v>0.65104140657603804</v>
      </c>
      <c r="I21" s="10">
        <v>1</v>
      </c>
      <c r="J21" s="10">
        <v>0.63</v>
      </c>
      <c r="K21" t="s">
        <v>309</v>
      </c>
    </row>
    <row r="22" spans="1:11" ht="60" x14ac:dyDescent="0.25">
      <c r="A22" s="11" t="s">
        <v>325</v>
      </c>
      <c r="B22" s="6">
        <v>20494997.32</v>
      </c>
      <c r="C22" s="6">
        <v>80000000</v>
      </c>
      <c r="D22" s="6">
        <v>35738822.07</v>
      </c>
      <c r="E22" s="6">
        <v>20494997.32</v>
      </c>
      <c r="F22" s="6">
        <v>56233819.390000001</v>
      </c>
      <c r="G22" s="7">
        <v>0.70292274237499996</v>
      </c>
      <c r="H22" s="10">
        <v>0.77799466626131797</v>
      </c>
      <c r="I22" s="10">
        <v>1</v>
      </c>
      <c r="J22" s="10">
        <v>0.7</v>
      </c>
      <c r="K22" t="s">
        <v>309</v>
      </c>
    </row>
    <row r="23" spans="1:11" x14ac:dyDescent="0.25">
      <c r="A23" s="11" t="s">
        <v>324</v>
      </c>
      <c r="B23" s="6">
        <v>30418238.620000001</v>
      </c>
      <c r="C23" s="6">
        <v>30418238.620000001</v>
      </c>
      <c r="D23" s="6">
        <v>0</v>
      </c>
      <c r="E23" s="6">
        <v>30418238.620000001</v>
      </c>
      <c r="F23" s="6">
        <v>30418238.620000001</v>
      </c>
      <c r="G23" s="7">
        <v>1</v>
      </c>
      <c r="H23" s="10">
        <v>0.79701090463731805</v>
      </c>
      <c r="I23" s="10">
        <v>1</v>
      </c>
      <c r="J23" s="10">
        <v>1</v>
      </c>
      <c r="K23" t="s">
        <v>39</v>
      </c>
    </row>
    <row r="24" spans="1:11" x14ac:dyDescent="0.25">
      <c r="A24" s="11" t="s">
        <v>323</v>
      </c>
      <c r="B24" s="6">
        <v>17176718.140000001</v>
      </c>
      <c r="C24" s="6">
        <v>17176718.140000001</v>
      </c>
      <c r="D24" s="6">
        <v>0</v>
      </c>
      <c r="E24" s="6">
        <v>17176718.140000001</v>
      </c>
      <c r="F24" s="6">
        <v>17176718.140000001</v>
      </c>
      <c r="G24" s="7">
        <v>1</v>
      </c>
      <c r="H24" s="10">
        <v>0.61031216874820304</v>
      </c>
      <c r="I24" s="10">
        <v>1</v>
      </c>
      <c r="J24" s="10">
        <v>1</v>
      </c>
      <c r="K24" t="s">
        <v>39</v>
      </c>
    </row>
    <row r="25" spans="1:11" x14ac:dyDescent="0.25">
      <c r="A25" s="11" t="s">
        <v>322</v>
      </c>
      <c r="B25" s="6">
        <v>8453582.2799999993</v>
      </c>
      <c r="C25" s="6">
        <v>150000000</v>
      </c>
      <c r="D25" s="6">
        <v>6583450.3399999999</v>
      </c>
      <c r="E25" s="6">
        <v>8453582.2799999993</v>
      </c>
      <c r="F25" s="6">
        <v>15037032.619999999</v>
      </c>
      <c r="G25" s="7">
        <v>0.10024688413333301</v>
      </c>
      <c r="H25" s="10">
        <v>0.44338622915727999</v>
      </c>
      <c r="I25" s="10">
        <v>1</v>
      </c>
      <c r="J25" s="10">
        <v>0.1</v>
      </c>
      <c r="K25" t="s">
        <v>38</v>
      </c>
    </row>
    <row r="26" spans="1:11" x14ac:dyDescent="0.25">
      <c r="B26" s="6">
        <f>SUBTOTAL(109,Table112[Toplam Yıl Ödeneği])</f>
        <v>793586849.31000006</v>
      </c>
      <c r="C26" s="6">
        <f>SUBTOTAL(109,Table112[Toplam Proje Tutarı])</f>
        <v>11122051919.440001</v>
      </c>
      <c r="D26" s="6">
        <f>SUBTOTAL(109,Table112[Önceki Yıllar Toplam Harcaması])</f>
        <v>3135492803.98</v>
      </c>
      <c r="E26" s="6">
        <f>SUBTOTAL(109,Table112[Yılı Harcama Tutarı])</f>
        <v>793327276.63</v>
      </c>
      <c r="F26" s="6">
        <f>SUBTOTAL(109,Table112[Toplam Harcama Tutarı])</f>
        <v>3928820080.6099992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518D6-5738-4FD6-91A4-EC8335BCBBA3}">
  <dimension ref="A1:L5"/>
  <sheetViews>
    <sheetView topLeftCell="A4" workbookViewId="0">
      <selection activeCell="K22" sqref="K22"/>
    </sheetView>
  </sheetViews>
  <sheetFormatPr defaultRowHeight="15" x14ac:dyDescent="0.25"/>
  <cols>
    <col min="1" max="1" width="28.5703125" customWidth="1"/>
    <col min="2" max="2" width="10.7109375" customWidth="1"/>
    <col min="3" max="3" width="12.5703125" customWidth="1"/>
    <col min="4" max="4" width="11.42578125" customWidth="1"/>
    <col min="5" max="5" width="11" customWidth="1"/>
    <col min="6" max="6" width="11.140625" customWidth="1"/>
  </cols>
  <sheetData>
    <row r="1" spans="1:12" x14ac:dyDescent="0.25">
      <c r="A1" s="14" t="s">
        <v>345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x14ac:dyDescent="0.25">
      <c r="A3" t="s">
        <v>85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96</v>
      </c>
    </row>
    <row r="4" spans="1:12" x14ac:dyDescent="0.25">
      <c r="A4" t="s">
        <v>344</v>
      </c>
      <c r="B4" s="6">
        <v>5561000</v>
      </c>
      <c r="C4" s="6">
        <v>76395000</v>
      </c>
      <c r="D4" s="6">
        <v>42006668</v>
      </c>
      <c r="E4" s="6">
        <v>5561000</v>
      </c>
      <c r="F4" s="6">
        <v>47567668</v>
      </c>
      <c r="G4" s="7">
        <v>0.62265420511813596</v>
      </c>
      <c r="H4" s="10">
        <v>0.26470059341844998</v>
      </c>
      <c r="I4" s="10">
        <v>1</v>
      </c>
      <c r="J4" s="10">
        <v>0.7</v>
      </c>
      <c r="K4" t="s">
        <v>44</v>
      </c>
    </row>
    <row r="5" spans="1:12" x14ac:dyDescent="0.25">
      <c r="B5" s="6">
        <f>SUBTOTAL(109,Table113[Toplam Yıl Ödeneği])</f>
        <v>5561000</v>
      </c>
      <c r="C5" s="6">
        <f>SUBTOTAL(109,Table113[Toplam Proje Tutarı])</f>
        <v>76395000</v>
      </c>
      <c r="D5" s="6">
        <f>SUBTOTAL(109,Table113[Önceki Yıllar Toplam Harcaması])</f>
        <v>42006668</v>
      </c>
      <c r="E5" s="6">
        <f>SUBTOTAL(109,Table113[Yılı Harcama Tutarı])</f>
        <v>5561000</v>
      </c>
      <c r="F5" s="6">
        <f>SUBTOTAL(109,Table113[Toplam Harcama Tutarı])</f>
        <v>47567668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BB18B-6F12-4741-B679-B5C1D033557D}">
  <dimension ref="A1:L8"/>
  <sheetViews>
    <sheetView workbookViewId="0">
      <selection activeCell="D19" sqref="D19"/>
    </sheetView>
  </sheetViews>
  <sheetFormatPr defaultRowHeight="15" x14ac:dyDescent="0.25"/>
  <cols>
    <col min="1" max="1" width="36.140625" customWidth="1"/>
    <col min="2" max="2" width="11.42578125" customWidth="1"/>
    <col min="3" max="3" width="10.85546875" customWidth="1"/>
    <col min="4" max="4" width="11.7109375" customWidth="1"/>
    <col min="5" max="5" width="10.42578125" customWidth="1"/>
    <col min="6" max="6" width="11" customWidth="1"/>
  </cols>
  <sheetData>
    <row r="1" spans="1:12" x14ac:dyDescent="0.25">
      <c r="A1" s="14" t="s">
        <v>350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349</v>
      </c>
      <c r="B4" s="6">
        <v>7376332.6500000004</v>
      </c>
      <c r="C4" s="6">
        <v>14987323.02</v>
      </c>
      <c r="D4" s="6">
        <v>0</v>
      </c>
      <c r="E4" s="6">
        <v>7318495.8799999999</v>
      </c>
      <c r="F4" s="6">
        <v>7318495.8799999999</v>
      </c>
      <c r="G4" s="7">
        <v>0.488312413780216</v>
      </c>
      <c r="H4" s="10">
        <v>0.64169467058945595</v>
      </c>
      <c r="I4" s="10">
        <v>0.99215914293127805</v>
      </c>
      <c r="J4" s="10">
        <v>0.49</v>
      </c>
      <c r="K4" t="s">
        <v>45</v>
      </c>
    </row>
    <row r="5" spans="1:12" ht="23.25" customHeight="1" x14ac:dyDescent="0.25">
      <c r="A5" s="11" t="s">
        <v>348</v>
      </c>
      <c r="B5" s="6">
        <v>3435784.36</v>
      </c>
      <c r="C5" s="6">
        <v>4910134.72</v>
      </c>
      <c r="D5" s="6">
        <v>1349424.7</v>
      </c>
      <c r="E5" s="6">
        <v>2339652.9500000002</v>
      </c>
      <c r="F5" s="6">
        <v>3689077.65</v>
      </c>
      <c r="G5" s="7">
        <v>0.75131902898175495</v>
      </c>
      <c r="H5" s="10">
        <v>0.13105109134381199</v>
      </c>
      <c r="I5" s="10">
        <v>0.68096617972846196</v>
      </c>
      <c r="J5" s="10">
        <v>0.83</v>
      </c>
      <c r="K5" t="s">
        <v>39</v>
      </c>
    </row>
    <row r="6" spans="1:12" ht="30" x14ac:dyDescent="0.25">
      <c r="A6" s="11" t="s">
        <v>347</v>
      </c>
      <c r="B6" s="6">
        <v>6894939.9100000001</v>
      </c>
      <c r="C6" s="6">
        <v>16776060</v>
      </c>
      <c r="D6" s="6">
        <v>9800821.9499999993</v>
      </c>
      <c r="E6" s="6">
        <v>3244178.27</v>
      </c>
      <c r="F6" s="6">
        <v>13045000.220000001</v>
      </c>
      <c r="G6" s="7">
        <v>0.77759618289395704</v>
      </c>
      <c r="H6" s="10">
        <v>0.32883254525709099</v>
      </c>
      <c r="I6" s="10">
        <v>0.47051581483615901</v>
      </c>
      <c r="J6" s="10">
        <v>0.78</v>
      </c>
      <c r="K6" t="s">
        <v>44</v>
      </c>
    </row>
    <row r="7" spans="1:12" x14ac:dyDescent="0.25">
      <c r="A7" s="11" t="s">
        <v>346</v>
      </c>
      <c r="B7" s="6">
        <v>3966237.04</v>
      </c>
      <c r="C7" s="6">
        <v>11426456.789999999</v>
      </c>
      <c r="D7" s="6">
        <v>6701563.1900000004</v>
      </c>
      <c r="E7" s="6">
        <v>3927654.43</v>
      </c>
      <c r="F7" s="6">
        <v>10629217.619999999</v>
      </c>
      <c r="G7" s="7">
        <v>0.93022866277342298</v>
      </c>
      <c r="H7" s="10">
        <v>0.42883336090270602</v>
      </c>
      <c r="I7" s="10">
        <v>0.99027223799009301</v>
      </c>
      <c r="J7" s="10">
        <v>0.94</v>
      </c>
      <c r="K7" t="s">
        <v>45</v>
      </c>
    </row>
    <row r="8" spans="1:12" x14ac:dyDescent="0.25">
      <c r="A8" s="11"/>
      <c r="B8" s="6">
        <f>SUBTOTAL(109,Table114[Toplam Yıl Ödeneği])</f>
        <v>21673293.960000001</v>
      </c>
      <c r="C8" s="6">
        <f>SUBTOTAL(109,Table114[Toplam Proje Tutarı])</f>
        <v>48099974.529999994</v>
      </c>
      <c r="D8" s="6">
        <f>SUBTOTAL(109,Table114[Önceki Yıllar Toplam Harcaması])</f>
        <v>17851809.84</v>
      </c>
      <c r="E8" s="6">
        <f>SUBTOTAL(109,Table114[Yılı Harcama Tutarı])</f>
        <v>16829981.530000001</v>
      </c>
      <c r="F8" s="6">
        <f>SUBTOTAL(109,Table114[Toplam Harcama Tutarı])</f>
        <v>34681791.369999997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E74A0-6807-4B21-B4ED-A9D68FAFA29C}">
  <dimension ref="A1:L10"/>
  <sheetViews>
    <sheetView topLeftCell="A7" workbookViewId="0">
      <selection activeCell="B31" sqref="B31"/>
    </sheetView>
  </sheetViews>
  <sheetFormatPr defaultRowHeight="15" x14ac:dyDescent="0.25"/>
  <cols>
    <col min="1" max="1" width="38" customWidth="1"/>
    <col min="2" max="2" width="11.42578125" customWidth="1"/>
    <col min="3" max="3" width="10.5703125" customWidth="1"/>
  </cols>
  <sheetData>
    <row r="1" spans="1:12" x14ac:dyDescent="0.25">
      <c r="A1" s="14" t="s">
        <v>357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356</v>
      </c>
      <c r="B4" s="6">
        <v>4064542</v>
      </c>
      <c r="C4" s="6">
        <v>4064542</v>
      </c>
      <c r="D4" s="6">
        <v>0</v>
      </c>
      <c r="E4" s="6">
        <v>3931822</v>
      </c>
      <c r="F4" s="6">
        <v>3931822</v>
      </c>
      <c r="G4" s="7">
        <v>0.967346874506402</v>
      </c>
      <c r="H4" s="10">
        <v>0.30503362986530802</v>
      </c>
      <c r="I4" s="10">
        <v>0.967346874506402</v>
      </c>
      <c r="J4" s="10">
        <v>1</v>
      </c>
    </row>
    <row r="5" spans="1:12" x14ac:dyDescent="0.25">
      <c r="A5" s="11" t="s">
        <v>355</v>
      </c>
      <c r="B5" s="6">
        <v>1631000</v>
      </c>
      <c r="C5" s="6">
        <v>1631000</v>
      </c>
      <c r="D5" s="6">
        <v>0</v>
      </c>
      <c r="E5" s="6">
        <v>1631000</v>
      </c>
      <c r="F5" s="6">
        <v>1631000</v>
      </c>
      <c r="G5" s="7">
        <v>1</v>
      </c>
      <c r="H5" s="10">
        <v>0.358675659104844</v>
      </c>
      <c r="I5" s="10">
        <v>1</v>
      </c>
      <c r="J5" s="10">
        <v>1</v>
      </c>
    </row>
    <row r="6" spans="1:12" x14ac:dyDescent="0.25">
      <c r="A6" s="11" t="s">
        <v>354</v>
      </c>
      <c r="B6" s="6">
        <v>21000</v>
      </c>
      <c r="C6" s="6">
        <v>21000</v>
      </c>
      <c r="D6" s="6">
        <v>0</v>
      </c>
      <c r="E6" s="6">
        <v>21000</v>
      </c>
      <c r="F6" s="6">
        <v>21000</v>
      </c>
      <c r="G6" s="7">
        <v>1</v>
      </c>
      <c r="H6" s="10">
        <v>1</v>
      </c>
      <c r="I6" s="10">
        <v>1</v>
      </c>
      <c r="J6" s="10">
        <v>1</v>
      </c>
    </row>
    <row r="7" spans="1:12" ht="30" x14ac:dyDescent="0.25">
      <c r="A7" s="11" t="s">
        <v>353</v>
      </c>
      <c r="B7" s="6">
        <v>45830</v>
      </c>
      <c r="C7" s="6">
        <v>45830</v>
      </c>
      <c r="D7" s="6">
        <v>0</v>
      </c>
      <c r="E7" s="6">
        <v>45830</v>
      </c>
      <c r="F7" s="6">
        <v>45830</v>
      </c>
      <c r="G7" s="7">
        <v>1</v>
      </c>
      <c r="H7" s="10">
        <v>1</v>
      </c>
      <c r="I7" s="10">
        <v>1</v>
      </c>
      <c r="J7" s="10">
        <v>1</v>
      </c>
      <c r="K7" t="s">
        <v>40</v>
      </c>
    </row>
    <row r="8" spans="1:12" ht="30" x14ac:dyDescent="0.25">
      <c r="A8" s="11" t="s">
        <v>352</v>
      </c>
      <c r="B8" s="6">
        <v>898000</v>
      </c>
      <c r="C8" s="6">
        <v>898000</v>
      </c>
      <c r="D8" s="6">
        <v>0</v>
      </c>
      <c r="E8" s="6">
        <v>648044</v>
      </c>
      <c r="F8" s="6">
        <v>648044</v>
      </c>
      <c r="G8" s="7">
        <v>0.721652561247216</v>
      </c>
      <c r="H8" s="10">
        <v>0.30962583518930997</v>
      </c>
      <c r="I8" s="10">
        <v>0.721652561247216</v>
      </c>
      <c r="J8" s="10">
        <v>1</v>
      </c>
      <c r="K8" t="s">
        <v>309</v>
      </c>
    </row>
    <row r="9" spans="1:12" ht="30" x14ac:dyDescent="0.25">
      <c r="A9" s="11" t="s">
        <v>351</v>
      </c>
      <c r="B9" s="6">
        <v>3770000</v>
      </c>
      <c r="C9" s="6">
        <v>3770000</v>
      </c>
      <c r="D9" s="6">
        <v>0</v>
      </c>
      <c r="E9" s="6">
        <v>3335468</v>
      </c>
      <c r="F9" s="6">
        <v>3335468</v>
      </c>
      <c r="G9" s="7">
        <v>0.88473952254641897</v>
      </c>
      <c r="H9" s="10">
        <v>0.53991193633952295</v>
      </c>
      <c r="I9" s="10">
        <v>0.88473952254641897</v>
      </c>
      <c r="J9" s="10">
        <v>1</v>
      </c>
      <c r="K9" t="s">
        <v>309</v>
      </c>
    </row>
    <row r="10" spans="1:12" x14ac:dyDescent="0.25">
      <c r="B10" s="6">
        <f>SUBTOTAL(109,Table115[Toplam Yıl Ödeneği])</f>
        <v>10430372</v>
      </c>
      <c r="C10" s="6">
        <f>SUBTOTAL(109,Table115[Toplam Proje Tutarı])</f>
        <v>10430372</v>
      </c>
      <c r="D10" s="6">
        <f>SUBTOTAL(109,Table115[Önceki Yıllar Toplam Harcaması])</f>
        <v>0</v>
      </c>
      <c r="E10" s="6">
        <f>SUBTOTAL(109,Table115[Yılı Harcama Tutarı])</f>
        <v>9613164</v>
      </c>
      <c r="F10" s="6">
        <f>SUBTOTAL(109,Table115[Toplam Harcama Tutarı])</f>
        <v>9613164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DFA2-6CB6-447E-B198-3F24DF974EE4}">
  <dimension ref="A1:L5"/>
  <sheetViews>
    <sheetView workbookViewId="0">
      <selection sqref="A1:L1"/>
    </sheetView>
  </sheetViews>
  <sheetFormatPr defaultRowHeight="15" x14ac:dyDescent="0.25"/>
  <cols>
    <col min="1" max="1" width="36.28515625" customWidth="1"/>
  </cols>
  <sheetData>
    <row r="1" spans="1:12" x14ac:dyDescent="0.25">
      <c r="A1" s="14" t="s">
        <v>359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45" x14ac:dyDescent="0.25">
      <c r="A4" s="11" t="s">
        <v>358</v>
      </c>
      <c r="B4" s="6">
        <v>1059124.3</v>
      </c>
      <c r="C4" s="6">
        <v>1620373.3</v>
      </c>
      <c r="D4" s="6">
        <v>561249</v>
      </c>
      <c r="E4" s="6">
        <v>1059124.3</v>
      </c>
      <c r="F4" s="6">
        <v>1620373.3</v>
      </c>
      <c r="G4" s="7">
        <v>1</v>
      </c>
      <c r="H4" s="10">
        <v>0.67391921798036403</v>
      </c>
      <c r="I4" s="10">
        <v>1</v>
      </c>
      <c r="J4" s="10">
        <v>1</v>
      </c>
    </row>
    <row r="5" spans="1:12" x14ac:dyDescent="0.25">
      <c r="A5" s="11"/>
      <c r="B5" s="6">
        <f>SUBTOTAL(109,Table116[Toplam Yıl Ödeneği])</f>
        <v>1059124.3</v>
      </c>
      <c r="C5" s="6">
        <f>SUBTOTAL(109,Table116[Toplam Proje Tutarı])</f>
        <v>1620373.3</v>
      </c>
      <c r="D5" s="6">
        <f>SUBTOTAL(109,Table116[Önceki Yıllar Toplam Harcaması])</f>
        <v>561249</v>
      </c>
      <c r="E5" s="6">
        <f>SUBTOTAL(109,Table116[Yılı Harcama Tutarı])</f>
        <v>1059124.3</v>
      </c>
      <c r="F5" s="6">
        <f>SUBTOTAL(109,Table116[Toplam Harcama Tutarı])</f>
        <v>1620373.3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F751-AEE1-490B-925A-FC3EB162EE8D}">
  <dimension ref="A1:L5"/>
  <sheetViews>
    <sheetView workbookViewId="0">
      <selection activeCell="D16" sqref="D16"/>
    </sheetView>
  </sheetViews>
  <sheetFormatPr defaultRowHeight="15" x14ac:dyDescent="0.25"/>
  <cols>
    <col min="1" max="1" width="33.7109375" customWidth="1"/>
  </cols>
  <sheetData>
    <row r="1" spans="1:12" x14ac:dyDescent="0.25">
      <c r="A1" s="14" t="s">
        <v>361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45" x14ac:dyDescent="0.25">
      <c r="A4" s="11" t="s">
        <v>360</v>
      </c>
      <c r="B4" s="6">
        <v>116000</v>
      </c>
      <c r="C4" s="6">
        <v>304440</v>
      </c>
      <c r="D4" s="6">
        <v>0</v>
      </c>
      <c r="E4" s="6">
        <v>115687</v>
      </c>
      <c r="F4" s="6">
        <v>115687</v>
      </c>
      <c r="G4" s="7">
        <v>0.379999343056103</v>
      </c>
      <c r="H4" s="10">
        <v>0.99730172413793094</v>
      </c>
      <c r="I4" s="10">
        <v>0.99730172413793094</v>
      </c>
      <c r="J4" s="10">
        <v>0.38</v>
      </c>
    </row>
    <row r="5" spans="1:12" x14ac:dyDescent="0.25">
      <c r="A5" s="11"/>
      <c r="B5" s="6">
        <f>SUBTOTAL(109,Table117[Toplam Yıl Ödeneği])</f>
        <v>116000</v>
      </c>
      <c r="C5" s="6">
        <f>SUBTOTAL(109,Table117[Toplam Proje Tutarı])</f>
        <v>304440</v>
      </c>
      <c r="D5" s="6">
        <f>SUBTOTAL(109,Table117[Önceki Yıllar Toplam Harcaması])</f>
        <v>0</v>
      </c>
      <c r="E5" s="6">
        <f>SUBTOTAL(109,Table117[Yılı Harcama Tutarı])</f>
        <v>115687</v>
      </c>
      <c r="F5" s="6">
        <f>SUBTOTAL(109,Table117[Toplam Harcama Tutarı])</f>
        <v>115687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8AE3D-E5AB-4F57-B6D4-D6AACC492CC8}">
  <sheetPr>
    <pageSetUpPr fitToPage="1"/>
  </sheetPr>
  <dimension ref="A1:K25"/>
  <sheetViews>
    <sheetView workbookViewId="0">
      <selection sqref="A1:K1"/>
    </sheetView>
  </sheetViews>
  <sheetFormatPr defaultRowHeight="15" x14ac:dyDescent="0.25"/>
  <cols>
    <col min="1" max="1" width="37.7109375" customWidth="1"/>
    <col min="2" max="2" width="11.42578125" customWidth="1"/>
    <col min="3" max="3" width="11" customWidth="1"/>
    <col min="6" max="6" width="10.42578125" customWidth="1"/>
  </cols>
  <sheetData>
    <row r="1" spans="1:11" x14ac:dyDescent="0.25">
      <c r="A1" s="14" t="s">
        <v>383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s="11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1" ht="30" x14ac:dyDescent="0.25">
      <c r="A4" s="11" t="s">
        <v>382</v>
      </c>
      <c r="B4" s="6">
        <v>16600000</v>
      </c>
      <c r="C4" s="6">
        <v>44419799.289999999</v>
      </c>
      <c r="D4" s="6">
        <v>0</v>
      </c>
      <c r="E4" s="6">
        <v>444156.83</v>
      </c>
      <c r="F4" s="6">
        <v>444156.83</v>
      </c>
      <c r="G4" s="7">
        <v>9.9990733208916299E-3</v>
      </c>
      <c r="H4" s="10">
        <v>2.6756435542168701E-2</v>
      </c>
      <c r="I4" s="10">
        <v>2.6756435542168701E-2</v>
      </c>
      <c r="J4" s="10">
        <v>0.1</v>
      </c>
      <c r="K4" t="s">
        <v>39</v>
      </c>
    </row>
    <row r="5" spans="1:11" ht="30" x14ac:dyDescent="0.25">
      <c r="A5" s="11" t="s">
        <v>381</v>
      </c>
      <c r="B5" s="6">
        <v>0</v>
      </c>
      <c r="C5" s="6">
        <v>227488.95</v>
      </c>
      <c r="D5" s="6">
        <v>0</v>
      </c>
      <c r="E5" s="6">
        <v>0</v>
      </c>
      <c r="F5" s="6">
        <v>0</v>
      </c>
      <c r="G5" s="7">
        <v>0</v>
      </c>
      <c r="H5" s="10">
        <v>0</v>
      </c>
      <c r="I5" s="10">
        <v>0</v>
      </c>
      <c r="J5" s="10">
        <v>0</v>
      </c>
      <c r="K5" t="s">
        <v>39</v>
      </c>
    </row>
    <row r="6" spans="1:11" ht="30" x14ac:dyDescent="0.25">
      <c r="A6" s="11" t="s">
        <v>380</v>
      </c>
      <c r="B6" s="6">
        <v>750000</v>
      </c>
      <c r="C6" s="6">
        <v>1952989.34</v>
      </c>
      <c r="D6" s="6">
        <v>0</v>
      </c>
      <c r="E6" s="6">
        <v>662970</v>
      </c>
      <c r="F6" s="6">
        <v>662970</v>
      </c>
      <c r="G6" s="7">
        <v>0.33946421847852998</v>
      </c>
      <c r="H6" s="10">
        <v>0.88395999999999997</v>
      </c>
      <c r="I6" s="10">
        <v>0.88395999999999997</v>
      </c>
      <c r="J6" s="10">
        <v>0.45</v>
      </c>
      <c r="K6" t="s">
        <v>39</v>
      </c>
    </row>
    <row r="7" spans="1:11" ht="45" x14ac:dyDescent="0.25">
      <c r="A7" s="11" t="s">
        <v>379</v>
      </c>
      <c r="B7" s="6">
        <v>2000000</v>
      </c>
      <c r="C7" s="6">
        <v>2000000</v>
      </c>
      <c r="D7" s="6">
        <v>0</v>
      </c>
      <c r="E7" s="6">
        <v>1993663.85</v>
      </c>
      <c r="F7" s="6">
        <v>1993663.85</v>
      </c>
      <c r="G7" s="7">
        <v>0.99683192499999995</v>
      </c>
      <c r="H7" s="10">
        <v>0.99683192499999995</v>
      </c>
      <c r="I7" s="10">
        <v>0.99683192499999995</v>
      </c>
      <c r="J7" s="10">
        <v>0.2</v>
      </c>
      <c r="K7" t="s">
        <v>39</v>
      </c>
    </row>
    <row r="8" spans="1:11" ht="30" x14ac:dyDescent="0.25">
      <c r="A8" s="11" t="s">
        <v>378</v>
      </c>
      <c r="B8" s="6">
        <v>1000</v>
      </c>
      <c r="C8" s="6">
        <v>1717889</v>
      </c>
      <c r="D8" s="6">
        <v>0</v>
      </c>
      <c r="E8" s="6">
        <v>0</v>
      </c>
      <c r="F8" s="6">
        <v>0</v>
      </c>
      <c r="G8" s="7">
        <v>0</v>
      </c>
      <c r="H8" s="10">
        <v>0</v>
      </c>
      <c r="I8" s="10">
        <v>0</v>
      </c>
      <c r="J8" s="10">
        <v>0.01</v>
      </c>
      <c r="K8" t="s">
        <v>39</v>
      </c>
    </row>
    <row r="9" spans="1:11" ht="45" x14ac:dyDescent="0.25">
      <c r="A9" s="11" t="s">
        <v>377</v>
      </c>
      <c r="B9" s="6">
        <v>925357</v>
      </c>
      <c r="C9" s="6">
        <v>929621</v>
      </c>
      <c r="D9" s="6">
        <v>4182</v>
      </c>
      <c r="E9" s="6">
        <v>865217.93</v>
      </c>
      <c r="F9" s="6">
        <v>869399.93</v>
      </c>
      <c r="G9" s="7">
        <v>0.935219761601771</v>
      </c>
      <c r="H9" s="10">
        <v>0.59455337777744199</v>
      </c>
      <c r="I9" s="10">
        <v>0.93500987186566897</v>
      </c>
      <c r="J9" s="10">
        <v>1</v>
      </c>
      <c r="K9" t="s">
        <v>39</v>
      </c>
    </row>
    <row r="10" spans="1:11" ht="30" x14ac:dyDescent="0.25">
      <c r="A10" s="11" t="s">
        <v>376</v>
      </c>
      <c r="B10" s="6">
        <v>295507</v>
      </c>
      <c r="C10" s="6">
        <v>1560000</v>
      </c>
      <c r="D10" s="6">
        <v>1249114.68</v>
      </c>
      <c r="E10" s="6">
        <v>295506.62</v>
      </c>
      <c r="F10" s="6">
        <v>1544621.3</v>
      </c>
      <c r="G10" s="7">
        <v>0.99014185897435902</v>
      </c>
      <c r="H10" s="10">
        <v>0</v>
      </c>
      <c r="I10" s="10">
        <v>0.99999871407445495</v>
      </c>
      <c r="J10" s="10">
        <v>1</v>
      </c>
      <c r="K10" t="s">
        <v>39</v>
      </c>
    </row>
    <row r="11" spans="1:11" ht="60" x14ac:dyDescent="0.25">
      <c r="A11" s="11" t="s">
        <v>375</v>
      </c>
      <c r="B11" s="6">
        <v>1063632.08</v>
      </c>
      <c r="C11" s="6">
        <v>1063632.08</v>
      </c>
      <c r="D11" s="6">
        <v>0</v>
      </c>
      <c r="E11" s="6">
        <v>1063632.08</v>
      </c>
      <c r="F11" s="6">
        <v>1063632.08</v>
      </c>
      <c r="G11" s="7">
        <v>1</v>
      </c>
      <c r="H11" s="10">
        <v>0.26131511565540599</v>
      </c>
      <c r="I11" s="10">
        <v>1</v>
      </c>
      <c r="J11" s="10">
        <v>1</v>
      </c>
      <c r="K11" t="s">
        <v>39</v>
      </c>
    </row>
    <row r="12" spans="1:11" ht="30" x14ac:dyDescent="0.25">
      <c r="A12" s="11" t="s">
        <v>374</v>
      </c>
      <c r="B12" s="6">
        <v>0</v>
      </c>
      <c r="C12" s="6">
        <v>1213129.1599999999</v>
      </c>
      <c r="D12" s="6">
        <v>0</v>
      </c>
      <c r="E12" s="6">
        <v>0</v>
      </c>
      <c r="F12" s="6">
        <v>0</v>
      </c>
      <c r="G12" s="7">
        <v>0</v>
      </c>
      <c r="H12" s="10">
        <v>0</v>
      </c>
      <c r="I12" s="10">
        <v>0</v>
      </c>
      <c r="J12" s="10">
        <v>0</v>
      </c>
      <c r="K12" t="s">
        <v>39</v>
      </c>
    </row>
    <row r="13" spans="1:11" ht="30" x14ac:dyDescent="0.25">
      <c r="A13" s="11" t="s">
        <v>373</v>
      </c>
      <c r="B13" s="6">
        <v>1400000</v>
      </c>
      <c r="C13" s="6">
        <v>1677196</v>
      </c>
      <c r="D13" s="6">
        <v>0</v>
      </c>
      <c r="E13" s="6">
        <v>0</v>
      </c>
      <c r="F13" s="6">
        <v>0</v>
      </c>
      <c r="G13" s="7">
        <v>0</v>
      </c>
      <c r="H13" s="10">
        <v>0</v>
      </c>
      <c r="I13" s="10">
        <v>0</v>
      </c>
      <c r="J13" s="10">
        <v>0.2</v>
      </c>
      <c r="K13" t="s">
        <v>39</v>
      </c>
    </row>
    <row r="14" spans="1:11" ht="45" x14ac:dyDescent="0.25">
      <c r="A14" s="11" t="s">
        <v>372</v>
      </c>
      <c r="B14" s="6">
        <v>0</v>
      </c>
      <c r="C14" s="6">
        <v>844440</v>
      </c>
      <c r="D14" s="6">
        <v>0</v>
      </c>
      <c r="E14" s="6">
        <v>0</v>
      </c>
      <c r="F14" s="6">
        <v>0</v>
      </c>
      <c r="G14" s="7">
        <v>0</v>
      </c>
      <c r="H14" s="10">
        <v>0</v>
      </c>
      <c r="I14" s="10">
        <v>0</v>
      </c>
      <c r="J14" s="10">
        <v>0</v>
      </c>
      <c r="K14" t="s">
        <v>39</v>
      </c>
    </row>
    <row r="15" spans="1:11" ht="30" x14ac:dyDescent="0.25">
      <c r="A15" s="11" t="s">
        <v>371</v>
      </c>
      <c r="B15" s="6">
        <v>10166</v>
      </c>
      <c r="C15" s="6">
        <v>4199796</v>
      </c>
      <c r="D15" s="6">
        <v>800</v>
      </c>
      <c r="E15" s="6">
        <v>10165.5</v>
      </c>
      <c r="F15" s="6">
        <v>10965.5</v>
      </c>
      <c r="G15" s="7">
        <v>2.6109601513978299E-3</v>
      </c>
      <c r="H15" s="10">
        <v>0</v>
      </c>
      <c r="I15" s="10">
        <v>0.99995081644698003</v>
      </c>
      <c r="J15" s="10">
        <v>0</v>
      </c>
      <c r="K15" t="s">
        <v>309</v>
      </c>
    </row>
    <row r="16" spans="1:11" ht="45" x14ac:dyDescent="0.25">
      <c r="A16" s="11" t="s">
        <v>370</v>
      </c>
      <c r="B16" s="6">
        <v>1850016</v>
      </c>
      <c r="C16" s="6">
        <v>18000000</v>
      </c>
      <c r="D16" s="6">
        <v>2892062</v>
      </c>
      <c r="E16" s="6">
        <v>1850016</v>
      </c>
      <c r="F16" s="6">
        <v>4742078</v>
      </c>
      <c r="G16" s="7">
        <v>0.26344877777777798</v>
      </c>
      <c r="H16" s="10">
        <v>1</v>
      </c>
      <c r="I16" s="10">
        <v>1</v>
      </c>
      <c r="J16" s="10">
        <v>0.96</v>
      </c>
      <c r="K16" t="s">
        <v>309</v>
      </c>
    </row>
    <row r="17" spans="1:11" x14ac:dyDescent="0.25">
      <c r="A17" s="11" t="s">
        <v>369</v>
      </c>
      <c r="B17" s="6">
        <v>696538.83</v>
      </c>
      <c r="C17" s="6">
        <v>1279215.3600000001</v>
      </c>
      <c r="D17" s="6">
        <v>0</v>
      </c>
      <c r="E17" s="6">
        <v>421475</v>
      </c>
      <c r="F17" s="6">
        <v>421475</v>
      </c>
      <c r="G17" s="7">
        <v>0.32947931456983098</v>
      </c>
      <c r="H17" s="10">
        <v>0.60509907250971195</v>
      </c>
      <c r="I17" s="10">
        <v>0.60509907250971195</v>
      </c>
      <c r="J17" s="10">
        <v>1</v>
      </c>
      <c r="K17" t="s">
        <v>43</v>
      </c>
    </row>
    <row r="18" spans="1:11" ht="30" x14ac:dyDescent="0.25">
      <c r="A18" s="11" t="s">
        <v>368</v>
      </c>
      <c r="B18" s="6">
        <v>1109007.8500000001</v>
      </c>
      <c r="C18" s="6">
        <v>1265000</v>
      </c>
      <c r="D18" s="6">
        <v>0</v>
      </c>
      <c r="E18" s="6">
        <v>1109007.8500000001</v>
      </c>
      <c r="F18" s="6">
        <v>1109007.8500000001</v>
      </c>
      <c r="G18" s="7">
        <v>0.87668604743083001</v>
      </c>
      <c r="H18" s="10">
        <v>0.461726984168778</v>
      </c>
      <c r="I18" s="10">
        <v>1</v>
      </c>
      <c r="J18" s="10">
        <v>0.75</v>
      </c>
      <c r="K18" t="s">
        <v>43</v>
      </c>
    </row>
    <row r="19" spans="1:11" x14ac:dyDescent="0.25">
      <c r="A19" s="11" t="s">
        <v>367</v>
      </c>
      <c r="B19" s="6">
        <v>11000</v>
      </c>
      <c r="C19" s="6">
        <v>6118031.3099999996</v>
      </c>
      <c r="D19" s="6">
        <v>0</v>
      </c>
      <c r="E19" s="6">
        <v>10100</v>
      </c>
      <c r="F19" s="6">
        <v>10100</v>
      </c>
      <c r="G19" s="7">
        <v>1.6508578476039199E-3</v>
      </c>
      <c r="H19" s="10">
        <v>0.91818181818181799</v>
      </c>
      <c r="I19" s="10">
        <v>0.91818181818181799</v>
      </c>
      <c r="J19" s="10">
        <v>0</v>
      </c>
      <c r="K19" t="s">
        <v>39</v>
      </c>
    </row>
    <row r="20" spans="1:11" x14ac:dyDescent="0.25">
      <c r="A20" s="11" t="s">
        <v>366</v>
      </c>
      <c r="B20" s="6">
        <v>1500000</v>
      </c>
      <c r="C20" s="6">
        <v>12790017</v>
      </c>
      <c r="D20" s="6">
        <v>0</v>
      </c>
      <c r="E20" s="6">
        <v>0</v>
      </c>
      <c r="F20" s="6">
        <v>0</v>
      </c>
      <c r="G20" s="7">
        <v>0</v>
      </c>
      <c r="H20" s="10">
        <v>0</v>
      </c>
      <c r="I20" s="10">
        <v>0</v>
      </c>
      <c r="J20" s="10">
        <v>0</v>
      </c>
      <c r="K20" t="s">
        <v>43</v>
      </c>
    </row>
    <row r="21" spans="1:11" x14ac:dyDescent="0.25">
      <c r="A21" s="11" t="s">
        <v>365</v>
      </c>
      <c r="B21" s="6">
        <v>1000</v>
      </c>
      <c r="C21" s="6">
        <v>6118031.3099999996</v>
      </c>
      <c r="D21" s="6">
        <v>0</v>
      </c>
      <c r="E21" s="6">
        <v>0</v>
      </c>
      <c r="F21" s="6">
        <v>0</v>
      </c>
      <c r="G21" s="7">
        <v>0</v>
      </c>
      <c r="H21" s="10">
        <v>0</v>
      </c>
      <c r="I21" s="10">
        <v>0</v>
      </c>
      <c r="J21" s="10">
        <v>0</v>
      </c>
      <c r="K21" t="s">
        <v>39</v>
      </c>
    </row>
    <row r="22" spans="1:11" ht="45" x14ac:dyDescent="0.25">
      <c r="A22" s="11" t="s">
        <v>364</v>
      </c>
      <c r="B22" s="6">
        <v>500000</v>
      </c>
      <c r="C22" s="6">
        <v>2898002.55</v>
      </c>
      <c r="D22" s="6">
        <v>0</v>
      </c>
      <c r="E22" s="6">
        <v>7380</v>
      </c>
      <c r="F22" s="6">
        <v>7380</v>
      </c>
      <c r="G22" s="7">
        <v>2.5465816101507598E-3</v>
      </c>
      <c r="H22" s="10">
        <v>0</v>
      </c>
      <c r="I22" s="10">
        <v>1.4760000000000001E-2</v>
      </c>
      <c r="J22" s="10">
        <v>0.15</v>
      </c>
      <c r="K22" t="s">
        <v>39</v>
      </c>
    </row>
    <row r="23" spans="1:11" ht="45" x14ac:dyDescent="0.25">
      <c r="A23" s="11" t="s">
        <v>363</v>
      </c>
      <c r="B23" s="6">
        <v>804418</v>
      </c>
      <c r="C23" s="6">
        <v>808600.4</v>
      </c>
      <c r="D23" s="6">
        <v>4182</v>
      </c>
      <c r="E23" s="6">
        <v>0</v>
      </c>
      <c r="F23" s="6">
        <v>4182</v>
      </c>
      <c r="G23" s="7">
        <v>5.1718994944845399E-3</v>
      </c>
      <c r="H23" s="10">
        <v>0</v>
      </c>
      <c r="I23" s="10">
        <v>0</v>
      </c>
      <c r="J23" s="10">
        <v>0</v>
      </c>
      <c r="K23" t="s">
        <v>39</v>
      </c>
    </row>
    <row r="24" spans="1:11" ht="30" x14ac:dyDescent="0.25">
      <c r="A24" s="11" t="s">
        <v>362</v>
      </c>
      <c r="B24" s="6">
        <v>1000</v>
      </c>
      <c r="C24" s="6">
        <v>11264094</v>
      </c>
      <c r="D24" s="6">
        <v>0</v>
      </c>
      <c r="E24" s="6">
        <v>0</v>
      </c>
      <c r="F24" s="6">
        <v>0</v>
      </c>
      <c r="G24" s="7">
        <v>0</v>
      </c>
      <c r="H24" s="10">
        <v>0</v>
      </c>
      <c r="I24" s="10">
        <v>0</v>
      </c>
      <c r="J24" s="10">
        <v>0</v>
      </c>
      <c r="K24" t="s">
        <v>309</v>
      </c>
    </row>
    <row r="25" spans="1:11" x14ac:dyDescent="0.25">
      <c r="B25" s="6">
        <f>SUBTOTAL(109,Table118[Toplam Yıl Ödeneği])</f>
        <v>29518642.759999998</v>
      </c>
      <c r="C25" s="6">
        <f>SUBTOTAL(109,Table118[Toplam Proje Tutarı])</f>
        <v>122346972.75</v>
      </c>
      <c r="D25" s="6">
        <f>SUBTOTAL(109,Table118[Önceki Yıllar Toplam Harcaması])</f>
        <v>4150340.6799999997</v>
      </c>
      <c r="E25" s="6">
        <f>SUBTOTAL(109,Table118[Yılı Harcama Tutarı])</f>
        <v>8733291.6600000001</v>
      </c>
      <c r="F25" s="6">
        <f>SUBTOTAL(109,Table118[Toplam Harcama Tutarı])</f>
        <v>12883632.34</v>
      </c>
    </row>
  </sheetData>
  <mergeCells count="1">
    <mergeCell ref="A1:K1"/>
  </mergeCells>
  <pageMargins left="0.7" right="0.7" top="0.75" bottom="0.75" header="0.3" footer="0.3"/>
  <pageSetup paperSize="9" scale="97" fitToHeight="0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3AFCC-763B-4B80-B8FA-76F879F3CD70}">
  <dimension ref="A1:L6"/>
  <sheetViews>
    <sheetView workbookViewId="0">
      <selection activeCell="C22" sqref="C22"/>
    </sheetView>
  </sheetViews>
  <sheetFormatPr defaultRowHeight="15" x14ac:dyDescent="0.25"/>
  <cols>
    <col min="1" max="1" width="34.85546875" customWidth="1"/>
    <col min="3" max="3" width="11.42578125" customWidth="1"/>
  </cols>
  <sheetData>
    <row r="1" spans="1:12" x14ac:dyDescent="0.25">
      <c r="A1" s="15" t="s">
        <v>386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x14ac:dyDescent="0.25">
      <c r="A4" s="11" t="s">
        <v>385</v>
      </c>
      <c r="B4" s="6">
        <v>2000</v>
      </c>
      <c r="C4" s="6">
        <v>30000000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43</v>
      </c>
    </row>
    <row r="5" spans="1:12" ht="30" x14ac:dyDescent="0.25">
      <c r="A5" s="11" t="s">
        <v>384</v>
      </c>
      <c r="B5" s="6">
        <v>500000</v>
      </c>
      <c r="C5" s="6">
        <v>2400000</v>
      </c>
      <c r="D5" s="6">
        <v>27000</v>
      </c>
      <c r="E5" s="6">
        <v>0</v>
      </c>
      <c r="F5" s="6">
        <v>27000</v>
      </c>
      <c r="G5" s="7">
        <v>1.125E-2</v>
      </c>
      <c r="H5" s="10">
        <v>0</v>
      </c>
      <c r="I5" s="10">
        <v>0</v>
      </c>
      <c r="J5" s="10">
        <v>0</v>
      </c>
      <c r="K5" t="s">
        <v>39</v>
      </c>
    </row>
    <row r="6" spans="1:12" x14ac:dyDescent="0.25">
      <c r="B6" s="6">
        <f>SUBTOTAL(109,Table119[Toplam Yıl Ödeneği])</f>
        <v>502000</v>
      </c>
      <c r="C6" s="6">
        <f>SUBTOTAL(109,Table119[Toplam Proje Tutarı])</f>
        <v>32400000</v>
      </c>
      <c r="D6" s="6">
        <f>SUBTOTAL(109,Table119[Önceki Yıllar Toplam Harcaması])</f>
        <v>27000</v>
      </c>
      <c r="E6" s="6">
        <f>SUBTOTAL(109,Table119[Yılı Harcama Tutarı])</f>
        <v>0</v>
      </c>
      <c r="F6" s="6">
        <f>SUBTOTAL(109,Table119[Toplam Harcama Tutarı])</f>
        <v>27000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A2DDB-2C71-4F5B-B22A-407707417904}">
  <dimension ref="A1:L7"/>
  <sheetViews>
    <sheetView workbookViewId="0">
      <selection activeCell="I16" sqref="I16"/>
    </sheetView>
  </sheetViews>
  <sheetFormatPr defaultRowHeight="15" x14ac:dyDescent="0.25"/>
  <cols>
    <col min="1" max="1" width="49.5703125" customWidth="1"/>
  </cols>
  <sheetData>
    <row r="1" spans="1:12" x14ac:dyDescent="0.2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ht="75" x14ac:dyDescent="0.25">
      <c r="A3" s="11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45" x14ac:dyDescent="0.25">
      <c r="A4" s="11" t="s">
        <v>389</v>
      </c>
      <c r="B4" s="6">
        <v>50</v>
      </c>
      <c r="C4" s="6">
        <v>802400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0.05</v>
      </c>
      <c r="K4" t="s">
        <v>39</v>
      </c>
    </row>
    <row r="5" spans="1:12" ht="45" x14ac:dyDescent="0.25">
      <c r="A5" s="11" t="s">
        <v>388</v>
      </c>
      <c r="B5" s="6">
        <v>162840</v>
      </c>
      <c r="C5" s="6">
        <v>162840</v>
      </c>
      <c r="D5" s="6">
        <v>0</v>
      </c>
      <c r="E5" s="6">
        <v>162840</v>
      </c>
      <c r="F5" s="6">
        <v>162840</v>
      </c>
      <c r="G5" s="7">
        <v>1</v>
      </c>
      <c r="H5" s="10">
        <v>0</v>
      </c>
      <c r="I5" s="10">
        <v>1</v>
      </c>
      <c r="J5" s="10">
        <v>0</v>
      </c>
      <c r="K5" t="s">
        <v>42</v>
      </c>
    </row>
    <row r="6" spans="1:12" ht="45" x14ac:dyDescent="0.25">
      <c r="A6" s="11" t="s">
        <v>387</v>
      </c>
      <c r="B6" s="6">
        <v>138600</v>
      </c>
      <c r="C6" s="6">
        <v>138600</v>
      </c>
      <c r="D6" s="6">
        <v>0</v>
      </c>
      <c r="E6" s="6">
        <v>138600</v>
      </c>
      <c r="F6" s="6">
        <v>138600</v>
      </c>
      <c r="G6" s="7">
        <v>1</v>
      </c>
      <c r="H6" s="10">
        <v>0</v>
      </c>
      <c r="I6" s="10">
        <v>1</v>
      </c>
      <c r="J6" s="10">
        <v>1</v>
      </c>
      <c r="K6" t="s">
        <v>38</v>
      </c>
    </row>
    <row r="7" spans="1:12" x14ac:dyDescent="0.25">
      <c r="B7" s="6">
        <f>SUBTOTAL(109,Table120[Toplam Yıl Ödeneği])</f>
        <v>301490</v>
      </c>
      <c r="C7" s="6">
        <f>SUBTOTAL(109,Table120[Toplam Proje Tutarı])</f>
        <v>1103840</v>
      </c>
      <c r="D7" s="6">
        <f>SUBTOTAL(109,Table120[Önceki Yıllar Toplam Harcaması])</f>
        <v>0</v>
      </c>
      <c r="E7" s="6">
        <f>SUBTOTAL(109,Table120[Yılı Harcama Tutarı])</f>
        <v>301440</v>
      </c>
      <c r="F7" s="6">
        <f>SUBTOTAL(109,Table120[Toplam Harcama Tutarı])</f>
        <v>301440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59708-4B07-488E-B17F-A144E7BAD9B1}">
  <dimension ref="A1:L9"/>
  <sheetViews>
    <sheetView workbookViewId="0">
      <selection activeCell="N8" sqref="N8"/>
    </sheetView>
  </sheetViews>
  <sheetFormatPr defaultRowHeight="15" x14ac:dyDescent="0.25"/>
  <cols>
    <col min="1" max="1" width="37.5703125" customWidth="1"/>
    <col min="3" max="3" width="12.140625" customWidth="1"/>
  </cols>
  <sheetData>
    <row r="1" spans="1:12" x14ac:dyDescent="0.25">
      <c r="A1" s="14" t="s">
        <v>395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s="11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45" x14ac:dyDescent="0.25">
      <c r="A4" s="11" t="s">
        <v>394</v>
      </c>
      <c r="B4" s="6">
        <v>0</v>
      </c>
      <c r="C4" s="6">
        <v>100000000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</v>
      </c>
    </row>
    <row r="5" spans="1:12" ht="30" x14ac:dyDescent="0.25">
      <c r="A5" s="11" t="s">
        <v>393</v>
      </c>
      <c r="B5" s="6">
        <v>462000</v>
      </c>
      <c r="C5" s="6">
        <v>3360000</v>
      </c>
      <c r="D5" s="6">
        <v>431000</v>
      </c>
      <c r="E5" s="6">
        <v>431000</v>
      </c>
      <c r="F5" s="6">
        <v>862000</v>
      </c>
      <c r="G5" s="7">
        <v>0.25654761904761902</v>
      </c>
      <c r="H5" s="10">
        <v>0.93290043290043301</v>
      </c>
      <c r="I5" s="10">
        <v>0.93290043290043301</v>
      </c>
      <c r="J5" s="10">
        <v>0.28000000000000003</v>
      </c>
      <c r="K5" t="s">
        <v>309</v>
      </c>
    </row>
    <row r="6" spans="1:12" ht="30" x14ac:dyDescent="0.25">
      <c r="A6" s="11" t="s">
        <v>392</v>
      </c>
      <c r="B6" s="6">
        <v>98900</v>
      </c>
      <c r="C6" s="6">
        <v>3500000</v>
      </c>
      <c r="D6" s="6">
        <v>3050550</v>
      </c>
      <c r="E6" s="6">
        <v>9000</v>
      </c>
      <c r="F6" s="6">
        <v>3059550</v>
      </c>
      <c r="G6" s="7">
        <v>0.87415714285714297</v>
      </c>
      <c r="H6" s="10">
        <v>9.1001011122345807E-2</v>
      </c>
      <c r="I6" s="10">
        <v>9.1001011122345807E-2</v>
      </c>
      <c r="J6" s="10">
        <v>0.98</v>
      </c>
      <c r="K6" t="s">
        <v>39</v>
      </c>
    </row>
    <row r="7" spans="1:12" ht="45" x14ac:dyDescent="0.25">
      <c r="A7" s="11" t="s">
        <v>391</v>
      </c>
      <c r="B7" s="6">
        <v>0</v>
      </c>
      <c r="C7" s="6">
        <v>180000000</v>
      </c>
      <c r="D7" s="6">
        <v>0</v>
      </c>
      <c r="E7" s="6">
        <v>0</v>
      </c>
      <c r="F7" s="6">
        <v>0</v>
      </c>
      <c r="G7" s="7">
        <v>0</v>
      </c>
      <c r="H7" s="10">
        <v>0</v>
      </c>
      <c r="I7" s="10">
        <v>0</v>
      </c>
      <c r="J7" s="10">
        <v>0</v>
      </c>
      <c r="K7" t="s">
        <v>39</v>
      </c>
    </row>
    <row r="8" spans="1:12" ht="45" x14ac:dyDescent="0.25">
      <c r="A8" s="11" t="s">
        <v>390</v>
      </c>
      <c r="B8" s="6">
        <v>0</v>
      </c>
      <c r="C8" s="6">
        <v>110000000</v>
      </c>
      <c r="D8" s="6">
        <v>0</v>
      </c>
      <c r="E8" s="6">
        <v>0</v>
      </c>
      <c r="F8" s="6">
        <v>0</v>
      </c>
      <c r="G8" s="7">
        <v>0</v>
      </c>
      <c r="H8" s="10">
        <v>0</v>
      </c>
      <c r="I8" s="10">
        <v>0</v>
      </c>
      <c r="J8" s="10">
        <v>0</v>
      </c>
      <c r="K8" t="s">
        <v>39</v>
      </c>
    </row>
    <row r="9" spans="1:12" x14ac:dyDescent="0.25">
      <c r="B9" s="6">
        <f>SUBTOTAL(109,Table121[Toplam Yıl Ödeneği])</f>
        <v>560900</v>
      </c>
      <c r="C9" s="6">
        <f>SUBTOTAL(109,Table121[Toplam Proje Tutarı])</f>
        <v>396860000</v>
      </c>
      <c r="D9" s="6">
        <f>SUBTOTAL(109,Table121[Önceki Yıllar Toplam Harcaması])</f>
        <v>3481550</v>
      </c>
      <c r="E9" s="6">
        <f>SUBTOTAL(109,Table121[Yılı Harcama Tutarı])</f>
        <v>440000</v>
      </c>
      <c r="F9" s="6">
        <f>SUBTOTAL(109,Table121[Toplam Harcama Tutarı])</f>
        <v>3921550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topLeftCell="A10" workbookViewId="0">
      <selection sqref="A1:K1"/>
    </sheetView>
  </sheetViews>
  <sheetFormatPr defaultRowHeight="15" x14ac:dyDescent="0.25"/>
  <cols>
    <col min="1" max="1" width="39.140625" customWidth="1"/>
    <col min="2" max="2" width="7.7109375" customWidth="1"/>
    <col min="3" max="3" width="12.7109375" customWidth="1"/>
    <col min="4" max="5" width="14.28515625" customWidth="1"/>
    <col min="6" max="6" width="12.85546875" customWidth="1"/>
    <col min="7" max="7" width="12.5703125" customWidth="1"/>
  </cols>
  <sheetData>
    <row r="1" spans="1:11" x14ac:dyDescent="0.25">
      <c r="A1" s="14" t="s">
        <v>498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25">
      <c r="A4" s="11" t="s">
        <v>11</v>
      </c>
      <c r="B4" s="1">
        <v>1</v>
      </c>
      <c r="C4" s="2">
        <v>36749473</v>
      </c>
      <c r="D4" s="3">
        <v>189326000</v>
      </c>
      <c r="E4" s="4">
        <v>0</v>
      </c>
      <c r="F4" s="5">
        <v>0</v>
      </c>
      <c r="G4" s="6">
        <v>0</v>
      </c>
      <c r="H4" s="7">
        <v>0</v>
      </c>
      <c r="I4" s="8">
        <v>0</v>
      </c>
      <c r="J4" s="9">
        <v>0</v>
      </c>
      <c r="K4" s="10">
        <v>0</v>
      </c>
    </row>
    <row r="5" spans="1:11" x14ac:dyDescent="0.25">
      <c r="A5" s="11" t="s">
        <v>12</v>
      </c>
      <c r="B5" s="1">
        <v>2</v>
      </c>
      <c r="C5" s="2">
        <v>502000</v>
      </c>
      <c r="D5" s="3">
        <v>32400000</v>
      </c>
      <c r="E5" s="4">
        <v>27000</v>
      </c>
      <c r="F5" s="5">
        <v>0</v>
      </c>
      <c r="G5" s="6">
        <v>27000</v>
      </c>
      <c r="H5" s="7">
        <v>8.3333333333333295E-4</v>
      </c>
      <c r="I5" s="8">
        <v>0</v>
      </c>
      <c r="J5" s="9">
        <v>0</v>
      </c>
      <c r="K5" s="10">
        <v>0</v>
      </c>
    </row>
    <row r="6" spans="1:11" ht="30" x14ac:dyDescent="0.25">
      <c r="A6" s="11" t="s">
        <v>13</v>
      </c>
      <c r="B6" s="1">
        <v>5</v>
      </c>
      <c r="C6" s="2">
        <v>560900</v>
      </c>
      <c r="D6" s="3">
        <v>396860000</v>
      </c>
      <c r="E6" s="4">
        <v>3481550</v>
      </c>
      <c r="F6" s="5">
        <v>440000</v>
      </c>
      <c r="G6" s="6">
        <v>3921550</v>
      </c>
      <c r="H6" s="7">
        <v>9.8814443380537201E-3</v>
      </c>
      <c r="I6" s="8">
        <v>0.78445355678373996</v>
      </c>
      <c r="J6" s="9">
        <v>0.78445355678373996</v>
      </c>
      <c r="K6" s="10">
        <v>0.52500000000000002</v>
      </c>
    </row>
    <row r="7" spans="1:11" x14ac:dyDescent="0.25">
      <c r="A7" s="11" t="s">
        <v>14</v>
      </c>
      <c r="B7" s="1">
        <v>41</v>
      </c>
      <c r="C7" s="2">
        <v>93262572</v>
      </c>
      <c r="D7" s="3">
        <v>2677555447</v>
      </c>
      <c r="E7" s="4">
        <v>137836305</v>
      </c>
      <c r="F7" s="5">
        <v>93261760</v>
      </c>
      <c r="G7" s="6">
        <v>231098065</v>
      </c>
      <c r="H7" s="7">
        <v>8.6309348050636295E-2</v>
      </c>
      <c r="I7" s="8">
        <v>0.56978350329004401</v>
      </c>
      <c r="J7" s="9">
        <v>0.99999129339902804</v>
      </c>
      <c r="K7" s="10">
        <v>0.23100000000000001</v>
      </c>
    </row>
    <row r="8" spans="1:11" x14ac:dyDescent="0.25">
      <c r="A8" s="11" t="s">
        <v>15</v>
      </c>
      <c r="B8" s="1">
        <v>21</v>
      </c>
      <c r="C8" s="2">
        <v>12068642.76</v>
      </c>
      <c r="D8" s="3">
        <v>123287955.75</v>
      </c>
      <c r="E8" s="4">
        <v>4150340.68</v>
      </c>
      <c r="F8" s="5">
        <v>9649627.8100000005</v>
      </c>
      <c r="G8" s="6">
        <v>13799968.49</v>
      </c>
      <c r="H8" s="7">
        <v>0.11193281943925799</v>
      </c>
      <c r="I8" s="8">
        <v>0.63295385420787798</v>
      </c>
      <c r="J8" s="9">
        <v>0.79956197245165594</v>
      </c>
      <c r="K8" s="10">
        <v>0.39797101449275402</v>
      </c>
    </row>
    <row r="9" spans="1:11" ht="30" x14ac:dyDescent="0.25">
      <c r="A9" s="11" t="s">
        <v>16</v>
      </c>
      <c r="B9" s="1">
        <v>25</v>
      </c>
      <c r="C9" s="2">
        <v>9302367.6500000004</v>
      </c>
      <c r="D9" s="3">
        <v>66804379.649999999</v>
      </c>
      <c r="E9" s="4">
        <v>0</v>
      </c>
      <c r="F9" s="5">
        <v>9302367.6500000004</v>
      </c>
      <c r="G9" s="6">
        <v>9302367.6500000004</v>
      </c>
      <c r="H9" s="7">
        <v>0.13924787115360901</v>
      </c>
      <c r="I9" s="8">
        <v>0.44161662326902301</v>
      </c>
      <c r="J9" s="9">
        <v>1</v>
      </c>
      <c r="K9" s="10">
        <v>0.96</v>
      </c>
    </row>
    <row r="10" spans="1:11" x14ac:dyDescent="0.25">
      <c r="A10" s="11" t="s">
        <v>17</v>
      </c>
      <c r="B10" s="1">
        <v>3</v>
      </c>
      <c r="C10" s="2">
        <v>301490</v>
      </c>
      <c r="D10" s="3">
        <v>1103840</v>
      </c>
      <c r="E10" s="4">
        <v>0</v>
      </c>
      <c r="F10" s="5">
        <v>301440</v>
      </c>
      <c r="G10" s="6">
        <v>301440</v>
      </c>
      <c r="H10" s="7">
        <v>0.27308305551529199</v>
      </c>
      <c r="I10" s="8">
        <v>0</v>
      </c>
      <c r="J10" s="9">
        <v>0.99983415702013301</v>
      </c>
      <c r="K10" s="10">
        <v>0.89444444444444404</v>
      </c>
    </row>
    <row r="11" spans="1:11" x14ac:dyDescent="0.25">
      <c r="A11" s="11" t="s">
        <v>18</v>
      </c>
      <c r="B11" s="1">
        <v>22</v>
      </c>
      <c r="C11" s="2">
        <v>793586849.30999994</v>
      </c>
      <c r="D11" s="3">
        <v>11122051919.440001</v>
      </c>
      <c r="E11" s="4">
        <v>3135492803.98</v>
      </c>
      <c r="F11" s="5">
        <v>793327276.63</v>
      </c>
      <c r="G11" s="6">
        <v>3928820080.6100001</v>
      </c>
      <c r="H11" s="7">
        <v>0.35324597556885201</v>
      </c>
      <c r="I11" s="8">
        <v>0.72170279852542296</v>
      </c>
      <c r="J11" s="9">
        <v>0.99967291206976805</v>
      </c>
      <c r="K11" s="10">
        <v>0.47831325301204802</v>
      </c>
    </row>
    <row r="12" spans="1:11" ht="30" x14ac:dyDescent="0.25">
      <c r="A12" s="11" t="s">
        <v>19</v>
      </c>
      <c r="B12" s="1">
        <v>1</v>
      </c>
      <c r="C12" s="2">
        <v>116000</v>
      </c>
      <c r="D12" s="3">
        <v>304440</v>
      </c>
      <c r="E12" s="4">
        <v>0</v>
      </c>
      <c r="F12" s="5">
        <v>115687</v>
      </c>
      <c r="G12" s="6">
        <v>115687</v>
      </c>
      <c r="H12" s="7">
        <v>0.379999343056103</v>
      </c>
      <c r="I12" s="8">
        <v>0.99730172413793094</v>
      </c>
      <c r="J12" s="9">
        <v>0.99730172413793094</v>
      </c>
      <c r="K12" s="10">
        <v>0.38</v>
      </c>
    </row>
    <row r="13" spans="1:11" ht="30" x14ac:dyDescent="0.25">
      <c r="A13" s="11" t="s">
        <v>20</v>
      </c>
      <c r="B13" s="1">
        <v>9</v>
      </c>
      <c r="C13" s="2">
        <v>34131007.859999999</v>
      </c>
      <c r="D13" s="3">
        <v>97267007.870000005</v>
      </c>
      <c r="E13" s="4">
        <v>22314861.690000001</v>
      </c>
      <c r="F13" s="5">
        <v>14678425.25</v>
      </c>
      <c r="G13" s="6">
        <v>36993286.939999998</v>
      </c>
      <c r="H13" s="7">
        <v>0.38032718133411197</v>
      </c>
      <c r="I13" s="8">
        <v>0.28740378339357903</v>
      </c>
      <c r="J13" s="9">
        <v>0.43006128943535998</v>
      </c>
      <c r="K13" s="10">
        <v>0.55777777777777804</v>
      </c>
    </row>
    <row r="14" spans="1:11" x14ac:dyDescent="0.25">
      <c r="A14" s="11" t="s">
        <v>21</v>
      </c>
      <c r="B14" s="1">
        <v>34</v>
      </c>
      <c r="C14" s="2">
        <v>157151362</v>
      </c>
      <c r="D14" s="3">
        <v>294046127</v>
      </c>
      <c r="E14" s="4">
        <v>11283160</v>
      </c>
      <c r="F14" s="5">
        <v>113216216</v>
      </c>
      <c r="G14" s="6">
        <v>124499376</v>
      </c>
      <c r="H14" s="7">
        <v>0.423400836019173</v>
      </c>
      <c r="I14" s="8">
        <v>0.42133314122979099</v>
      </c>
      <c r="J14" s="9">
        <v>0.72042783822643597</v>
      </c>
      <c r="K14" s="10">
        <v>0.72213740458015296</v>
      </c>
    </row>
    <row r="15" spans="1:11" ht="21.75" customHeight="1" x14ac:dyDescent="0.25">
      <c r="A15" s="11" t="s">
        <v>22</v>
      </c>
      <c r="B15" s="1">
        <v>12</v>
      </c>
      <c r="C15" s="2">
        <v>59396557.020000003</v>
      </c>
      <c r="D15" s="3">
        <v>325179913.86000001</v>
      </c>
      <c r="E15" s="4">
        <v>151747402.25</v>
      </c>
      <c r="F15" s="5">
        <v>50244823.850000001</v>
      </c>
      <c r="G15" s="6">
        <v>201992226.09999999</v>
      </c>
      <c r="H15" s="7">
        <v>0.621170673496653</v>
      </c>
      <c r="I15" s="8">
        <v>0.27822020280461002</v>
      </c>
      <c r="J15" s="9">
        <v>0.84592148721821603</v>
      </c>
      <c r="K15" s="10">
        <v>0.80777777777777804</v>
      </c>
    </row>
    <row r="16" spans="1:11" ht="30" x14ac:dyDescent="0.25">
      <c r="A16" s="11" t="s">
        <v>23</v>
      </c>
      <c r="B16" s="1">
        <v>4</v>
      </c>
      <c r="C16" s="2">
        <v>21673293.960000001</v>
      </c>
      <c r="D16" s="3">
        <v>48099974.530000001</v>
      </c>
      <c r="E16" s="4">
        <v>17851809.84</v>
      </c>
      <c r="F16" s="5">
        <v>16829981.530000001</v>
      </c>
      <c r="G16" s="6">
        <v>34681791.369999997</v>
      </c>
      <c r="H16" s="7">
        <v>0.72103554542152504</v>
      </c>
      <c r="I16" s="8">
        <v>0.42225939706674898</v>
      </c>
      <c r="J16" s="9">
        <v>0.77653085687211298</v>
      </c>
      <c r="K16" s="10">
        <v>0.76</v>
      </c>
    </row>
    <row r="17" spans="1:11" x14ac:dyDescent="0.25">
      <c r="A17" s="11" t="s">
        <v>24</v>
      </c>
      <c r="B17" s="1">
        <v>12</v>
      </c>
      <c r="C17" s="2">
        <v>151184481.03</v>
      </c>
      <c r="D17" s="3">
        <v>546318260.00999999</v>
      </c>
      <c r="E17" s="4">
        <v>322157152.81999999</v>
      </c>
      <c r="F17" s="5">
        <v>137640089.69</v>
      </c>
      <c r="G17" s="6">
        <v>459797242.50999999</v>
      </c>
      <c r="H17" s="7">
        <v>0.841628911509536</v>
      </c>
      <c r="I17" s="8">
        <v>0.26756464436302202</v>
      </c>
      <c r="J17" s="9">
        <v>0.91041149694913204</v>
      </c>
      <c r="K17" s="10">
        <v>0.194893617021277</v>
      </c>
    </row>
    <row r="18" spans="1:11" ht="30" x14ac:dyDescent="0.25">
      <c r="A18" s="11" t="s">
        <v>25</v>
      </c>
      <c r="B18" s="1">
        <v>4</v>
      </c>
      <c r="C18" s="2">
        <v>78809602.349999994</v>
      </c>
      <c r="D18" s="3">
        <v>85859686.400000006</v>
      </c>
      <c r="E18" s="4">
        <v>6371472.29</v>
      </c>
      <c r="F18" s="5">
        <v>67609163.709999993</v>
      </c>
      <c r="G18" s="6">
        <v>73980636</v>
      </c>
      <c r="H18" s="7">
        <v>0.86164577465775605</v>
      </c>
      <c r="I18" s="8">
        <v>0.65270094450616101</v>
      </c>
      <c r="J18" s="9">
        <v>0.85787977218489297</v>
      </c>
      <c r="K18" s="10">
        <v>0.71750000000000003</v>
      </c>
    </row>
    <row r="19" spans="1:11" x14ac:dyDescent="0.25">
      <c r="A19" s="11" t="s">
        <v>26</v>
      </c>
      <c r="B19" s="1">
        <v>1</v>
      </c>
      <c r="C19" s="2">
        <v>9123000</v>
      </c>
      <c r="D19" s="3">
        <v>147125000</v>
      </c>
      <c r="E19" s="4">
        <v>118778000</v>
      </c>
      <c r="F19" s="5">
        <v>9123000</v>
      </c>
      <c r="G19" s="6">
        <v>127901000</v>
      </c>
      <c r="H19" s="7">
        <v>0.86933559898045898</v>
      </c>
      <c r="I19" s="8">
        <v>0</v>
      </c>
      <c r="J19" s="9">
        <v>1</v>
      </c>
      <c r="K19" s="10">
        <v>0.7</v>
      </c>
    </row>
    <row r="20" spans="1:11" x14ac:dyDescent="0.25">
      <c r="A20" s="11" t="s">
        <v>27</v>
      </c>
      <c r="B20" s="1">
        <v>6</v>
      </c>
      <c r="C20" s="2">
        <v>10430372</v>
      </c>
      <c r="D20" s="3">
        <v>10430372</v>
      </c>
      <c r="E20" s="4">
        <v>0</v>
      </c>
      <c r="F20" s="5">
        <v>9613164</v>
      </c>
      <c r="G20" s="6">
        <v>9613164</v>
      </c>
      <c r="H20" s="7">
        <v>0.92165111656612098</v>
      </c>
      <c r="I20" s="8">
        <v>0.40316529458393202</v>
      </c>
      <c r="J20" s="9">
        <v>0.92165111656612098</v>
      </c>
      <c r="K20" s="10">
        <v>1</v>
      </c>
    </row>
    <row r="21" spans="1:11" ht="30" x14ac:dyDescent="0.25">
      <c r="A21" s="11" t="s">
        <v>28</v>
      </c>
      <c r="B21" s="1">
        <v>5</v>
      </c>
      <c r="C21" s="2">
        <v>5169195.92</v>
      </c>
      <c r="D21" s="3">
        <v>5169195.92</v>
      </c>
      <c r="E21" s="4">
        <v>0</v>
      </c>
      <c r="F21" s="5">
        <v>4834703.26</v>
      </c>
      <c r="G21" s="6">
        <v>4834703.26</v>
      </c>
      <c r="H21" s="7">
        <v>0.93529116226649001</v>
      </c>
      <c r="I21" s="8">
        <v>0.70720984783258101</v>
      </c>
      <c r="J21" s="9">
        <v>0.93529116226649001</v>
      </c>
      <c r="K21" s="10">
        <v>0.6</v>
      </c>
    </row>
    <row r="22" spans="1:11" x14ac:dyDescent="0.25">
      <c r="A22" s="11" t="s">
        <v>29</v>
      </c>
      <c r="B22" s="1">
        <v>2</v>
      </c>
      <c r="C22" s="2">
        <v>3021700</v>
      </c>
      <c r="D22" s="3">
        <v>3021700</v>
      </c>
      <c r="E22" s="4">
        <v>0</v>
      </c>
      <c r="F22" s="5">
        <v>2945000</v>
      </c>
      <c r="G22" s="6">
        <v>2945000</v>
      </c>
      <c r="H22" s="7">
        <v>0.97461693748552103</v>
      </c>
      <c r="I22" s="8">
        <v>0.97461693748552103</v>
      </c>
      <c r="J22" s="9">
        <v>0.97461693748552103</v>
      </c>
      <c r="K22" s="10">
        <v>0.5</v>
      </c>
    </row>
    <row r="23" spans="1:11" ht="30" x14ac:dyDescent="0.25">
      <c r="A23" s="11" t="s">
        <v>30</v>
      </c>
      <c r="B23" s="1">
        <v>1</v>
      </c>
      <c r="C23" s="2">
        <v>1059124.3</v>
      </c>
      <c r="D23" s="3">
        <v>1620373.3</v>
      </c>
      <c r="E23" s="4">
        <v>561249</v>
      </c>
      <c r="F23" s="5">
        <v>1059124.3</v>
      </c>
      <c r="G23" s="6">
        <v>1620373.3</v>
      </c>
      <c r="H23" s="7">
        <v>1</v>
      </c>
      <c r="I23" s="8">
        <v>0.67391921798036403</v>
      </c>
      <c r="J23" s="9">
        <v>1</v>
      </c>
      <c r="K23" s="10">
        <v>1</v>
      </c>
    </row>
    <row r="24" spans="1:11" x14ac:dyDescent="0.25">
      <c r="B24" s="6">
        <f>SUBTOTAL(109,Table1[Proje Sayısı])</f>
        <v>211</v>
      </c>
      <c r="C24" s="6">
        <f>SUBTOTAL(109,Table1[Toplam Yıl Ödeneği])</f>
        <v>1477599991.1599998</v>
      </c>
      <c r="D24" s="6">
        <f>SUBTOTAL(109,Table1[Toplam Proje Tutarı])</f>
        <v>16173831592.730001</v>
      </c>
      <c r="E24" s="6">
        <f>SUBTOTAL(109,Table1[Önceki Yıllar Toplam Harcaması])</f>
        <v>3932053107.5500002</v>
      </c>
      <c r="F24" s="6">
        <f>SUBTOTAL(109,Table1[Yılı Harcama Tutarı])</f>
        <v>1334191850.6800001</v>
      </c>
      <c r="G24" s="6">
        <f>SUBTOTAL(109,Table1[Toplam Harcama Tutarı])</f>
        <v>5266244958.2300014</v>
      </c>
      <c r="H24" t="s">
        <v>32</v>
      </c>
      <c r="I24" t="s">
        <v>31</v>
      </c>
      <c r="J24" t="s">
        <v>31</v>
      </c>
    </row>
  </sheetData>
  <mergeCells count="1">
    <mergeCell ref="A1:K1"/>
  </mergeCells>
  <pageMargins left="0.7" right="0.7" top="0.75" bottom="0.75" header="0.3" footer="0.3"/>
  <pageSetup paperSize="9" scale="87" fitToHeight="0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66229-20A2-40A5-B22E-72EAAA6A348E}">
  <sheetPr>
    <pageSetUpPr fitToPage="1"/>
  </sheetPr>
  <dimension ref="A1:L13"/>
  <sheetViews>
    <sheetView workbookViewId="0">
      <selection activeCell="M12" sqref="M12"/>
    </sheetView>
  </sheetViews>
  <sheetFormatPr defaultRowHeight="15" x14ac:dyDescent="0.25"/>
  <cols>
    <col min="1" max="1" width="37" customWidth="1"/>
    <col min="2" max="2" width="10.5703125" customWidth="1"/>
    <col min="3" max="3" width="10.85546875" customWidth="1"/>
    <col min="4" max="4" width="11.7109375" customWidth="1"/>
    <col min="5" max="5" width="10.42578125" customWidth="1"/>
    <col min="6" max="6" width="12.140625" customWidth="1"/>
  </cols>
  <sheetData>
    <row r="1" spans="1:12" x14ac:dyDescent="0.25">
      <c r="A1" s="14" t="s">
        <v>407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x14ac:dyDescent="0.25">
      <c r="A4" s="11" t="s">
        <v>406</v>
      </c>
      <c r="B4" s="6">
        <v>1165992.47</v>
      </c>
      <c r="C4" s="6">
        <v>4509000</v>
      </c>
      <c r="D4" s="6">
        <v>0</v>
      </c>
      <c r="E4" s="6">
        <v>1165992.47</v>
      </c>
      <c r="F4" s="6">
        <v>1165992.47</v>
      </c>
      <c r="G4" s="7">
        <v>0.25859225327123497</v>
      </c>
      <c r="H4" s="10">
        <v>0</v>
      </c>
      <c r="I4" s="10">
        <v>1</v>
      </c>
      <c r="J4" s="10">
        <v>0.3</v>
      </c>
      <c r="K4" t="s">
        <v>41</v>
      </c>
    </row>
    <row r="5" spans="1:12" x14ac:dyDescent="0.25">
      <c r="A5" s="11" t="s">
        <v>405</v>
      </c>
      <c r="B5" s="6">
        <v>9981243.5800000001</v>
      </c>
      <c r="C5" s="6">
        <v>147228163.63999999</v>
      </c>
      <c r="D5" s="6">
        <v>137246920.06</v>
      </c>
      <c r="E5" s="6">
        <v>9981243.5800000001</v>
      </c>
      <c r="F5" s="6">
        <v>147228163.63999999</v>
      </c>
      <c r="G5" s="7">
        <v>1</v>
      </c>
      <c r="H5" s="10">
        <v>1</v>
      </c>
      <c r="I5" s="10">
        <v>1</v>
      </c>
      <c r="J5" s="10">
        <v>1</v>
      </c>
      <c r="K5" t="s">
        <v>398</v>
      </c>
    </row>
    <row r="6" spans="1:12" ht="60" x14ac:dyDescent="0.25">
      <c r="A6" s="11" t="s">
        <v>404</v>
      </c>
      <c r="B6" s="6">
        <v>4307000</v>
      </c>
      <c r="C6" s="6">
        <v>4307000</v>
      </c>
      <c r="D6" s="6">
        <v>0</v>
      </c>
      <c r="E6" s="6">
        <v>4307000</v>
      </c>
      <c r="F6" s="6">
        <v>4307000</v>
      </c>
      <c r="G6" s="7">
        <v>1</v>
      </c>
      <c r="H6" s="10">
        <v>0</v>
      </c>
      <c r="I6" s="10">
        <v>1</v>
      </c>
      <c r="J6" s="10">
        <v>1</v>
      </c>
      <c r="K6" t="s">
        <v>398</v>
      </c>
    </row>
    <row r="7" spans="1:12" ht="30" x14ac:dyDescent="0.25">
      <c r="A7" s="11" t="s">
        <v>403</v>
      </c>
      <c r="B7" s="6">
        <v>1078217.69</v>
      </c>
      <c r="C7" s="6">
        <v>1440047.83</v>
      </c>
      <c r="D7" s="6">
        <v>361830.14</v>
      </c>
      <c r="E7" s="6">
        <v>1078217.69</v>
      </c>
      <c r="F7" s="6">
        <v>1440047.83</v>
      </c>
      <c r="G7" s="7">
        <v>1</v>
      </c>
      <c r="H7" s="10">
        <v>0.107980513656755</v>
      </c>
      <c r="I7" s="10">
        <v>1</v>
      </c>
      <c r="J7" s="10">
        <v>1</v>
      </c>
      <c r="K7" t="s">
        <v>398</v>
      </c>
    </row>
    <row r="8" spans="1:12" ht="45" x14ac:dyDescent="0.25">
      <c r="A8" s="11" t="s">
        <v>402</v>
      </c>
      <c r="B8" s="6">
        <v>11780665.220000001</v>
      </c>
      <c r="C8" s="6">
        <v>11780665.220000001</v>
      </c>
      <c r="D8" s="6">
        <v>0</v>
      </c>
      <c r="E8" s="6">
        <v>11780665.220000001</v>
      </c>
      <c r="F8" s="6">
        <v>11780665.220000001</v>
      </c>
      <c r="G8" s="7">
        <v>1</v>
      </c>
      <c r="H8" s="10">
        <v>0.61293956199869004</v>
      </c>
      <c r="I8" s="10">
        <v>1</v>
      </c>
      <c r="J8" s="10">
        <v>1</v>
      </c>
      <c r="K8" t="s">
        <v>309</v>
      </c>
    </row>
    <row r="9" spans="1:12" x14ac:dyDescent="0.25">
      <c r="A9" s="11" t="s">
        <v>401</v>
      </c>
      <c r="B9" s="6">
        <v>4626418.0599999996</v>
      </c>
      <c r="C9" s="6">
        <v>5070000</v>
      </c>
      <c r="D9" s="6">
        <v>443581.94</v>
      </c>
      <c r="E9" s="6">
        <v>3108984.79</v>
      </c>
      <c r="F9" s="6">
        <v>3552566.73</v>
      </c>
      <c r="G9" s="7">
        <v>0.70070349704141999</v>
      </c>
      <c r="H9" s="10">
        <v>0.63551065248954197</v>
      </c>
      <c r="I9" s="10">
        <v>0.67200688517111695</v>
      </c>
      <c r="J9" s="10">
        <v>0.98</v>
      </c>
      <c r="K9" t="s">
        <v>42</v>
      </c>
    </row>
    <row r="10" spans="1:12" ht="45" x14ac:dyDescent="0.25">
      <c r="A10" s="11" t="s">
        <v>400</v>
      </c>
      <c r="B10" s="6">
        <v>5068100</v>
      </c>
      <c r="C10" s="6">
        <v>5068100</v>
      </c>
      <c r="D10" s="6">
        <v>0</v>
      </c>
      <c r="E10" s="6">
        <v>3502530</v>
      </c>
      <c r="F10" s="6">
        <v>3502530</v>
      </c>
      <c r="G10" s="7">
        <v>0.69109330912965405</v>
      </c>
      <c r="H10" s="10">
        <v>0.196280458159863</v>
      </c>
      <c r="I10" s="10">
        <v>0.69109330912965405</v>
      </c>
      <c r="J10" s="10">
        <v>0.8</v>
      </c>
      <c r="K10" t="s">
        <v>309</v>
      </c>
    </row>
    <row r="11" spans="1:12" ht="45" x14ac:dyDescent="0.25">
      <c r="A11" s="11" t="s">
        <v>399</v>
      </c>
      <c r="B11" s="6">
        <v>13562920</v>
      </c>
      <c r="C11" s="6">
        <v>13562920</v>
      </c>
      <c r="D11" s="6">
        <v>0</v>
      </c>
      <c r="E11" s="6">
        <v>7494190.0999999996</v>
      </c>
      <c r="F11" s="6">
        <v>7494190.0999999996</v>
      </c>
      <c r="G11" s="7">
        <v>0.55254990075883403</v>
      </c>
      <c r="H11" s="10">
        <v>0</v>
      </c>
      <c r="I11" s="10">
        <v>0.55254990075883403</v>
      </c>
      <c r="J11" s="10">
        <v>0.78</v>
      </c>
      <c r="K11" t="s">
        <v>398</v>
      </c>
    </row>
    <row r="12" spans="1:12" ht="30" x14ac:dyDescent="0.25">
      <c r="A12" s="11" t="s">
        <v>397</v>
      </c>
      <c r="B12" s="6">
        <v>7826000</v>
      </c>
      <c r="C12" s="6">
        <v>17718617.170000002</v>
      </c>
      <c r="D12" s="6">
        <v>9892617.1699999999</v>
      </c>
      <c r="E12" s="6">
        <v>7826000</v>
      </c>
      <c r="F12" s="6">
        <v>17718617.170000002</v>
      </c>
      <c r="G12" s="7">
        <v>1</v>
      </c>
      <c r="H12" s="10">
        <v>1</v>
      </c>
      <c r="I12" s="10">
        <v>1</v>
      </c>
      <c r="J12" s="10">
        <v>1</v>
      </c>
      <c r="K12" t="s">
        <v>396</v>
      </c>
    </row>
    <row r="13" spans="1:12" ht="28.5" customHeight="1" x14ac:dyDescent="0.25">
      <c r="A13" s="11"/>
      <c r="B13" s="6">
        <f>SUBTOTAL(109,Table122[Toplam Yıl Ödeneği])</f>
        <v>59396557.019999996</v>
      </c>
      <c r="C13" s="6">
        <f>SUBTOTAL(109,Table122[Toplam Proje Tutarı])</f>
        <v>210684513.86000001</v>
      </c>
      <c r="D13" s="6">
        <f>SUBTOTAL(109,Table122[Önceki Yıllar Toplam Harcaması])</f>
        <v>147944949.30999997</v>
      </c>
      <c r="E13" s="6">
        <f>SUBTOTAL(109,Table122[Yılı Harcama Tutarı])</f>
        <v>50244823.850000001</v>
      </c>
      <c r="F13" s="6">
        <f>SUBTOTAL(109,Table122[Toplam Harcama Tutarı])</f>
        <v>198189773.15999997</v>
      </c>
    </row>
  </sheetData>
  <mergeCells count="1">
    <mergeCell ref="A1:L1"/>
  </mergeCells>
  <pageMargins left="0.7" right="0.7" top="0.75" bottom="0.75" header="0.3" footer="0.3"/>
  <pageSetup paperSize="9" scale="88" fitToHeight="0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5089E-B7D7-42D7-860C-5941C4AF117D}">
  <dimension ref="A1:L9"/>
  <sheetViews>
    <sheetView workbookViewId="0">
      <selection activeCell="F17" sqref="F17"/>
    </sheetView>
  </sheetViews>
  <sheetFormatPr defaultRowHeight="15" x14ac:dyDescent="0.25"/>
  <cols>
    <col min="1" max="1" width="39.7109375" customWidth="1"/>
  </cols>
  <sheetData>
    <row r="1" spans="1:12" x14ac:dyDescent="0.25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413</v>
      </c>
      <c r="B4" s="6">
        <v>634840</v>
      </c>
      <c r="C4" s="6">
        <v>634840</v>
      </c>
      <c r="D4" s="6">
        <v>0</v>
      </c>
      <c r="E4" s="6">
        <v>634840</v>
      </c>
      <c r="F4" s="6">
        <v>634840</v>
      </c>
      <c r="G4" s="7">
        <v>1</v>
      </c>
      <c r="H4" s="10">
        <v>0</v>
      </c>
      <c r="I4" s="10">
        <v>1</v>
      </c>
      <c r="J4" s="10">
        <v>1</v>
      </c>
      <c r="K4" t="s">
        <v>40</v>
      </c>
    </row>
    <row r="5" spans="1:12" ht="30" x14ac:dyDescent="0.25">
      <c r="A5" s="11" t="s">
        <v>412</v>
      </c>
      <c r="B5" s="6">
        <v>424210</v>
      </c>
      <c r="C5" s="6">
        <v>424210</v>
      </c>
      <c r="D5" s="6">
        <v>0</v>
      </c>
      <c r="E5" s="6">
        <v>424210</v>
      </c>
      <c r="F5" s="6">
        <v>424210</v>
      </c>
      <c r="G5" s="7">
        <v>1</v>
      </c>
      <c r="H5" s="10">
        <v>0</v>
      </c>
      <c r="I5" s="10">
        <v>1</v>
      </c>
      <c r="J5" s="10">
        <v>1</v>
      </c>
      <c r="K5" t="s">
        <v>38</v>
      </c>
    </row>
    <row r="6" spans="1:12" ht="30" x14ac:dyDescent="0.25">
      <c r="A6" s="11" t="s">
        <v>411</v>
      </c>
      <c r="B6" s="6">
        <v>3950145.92</v>
      </c>
      <c r="C6" s="6">
        <v>3950145.92</v>
      </c>
      <c r="D6" s="6">
        <v>0</v>
      </c>
      <c r="E6" s="6">
        <v>3655706.26</v>
      </c>
      <c r="F6" s="6">
        <v>3655706.26</v>
      </c>
      <c r="G6" s="7">
        <v>0.92546106752431101</v>
      </c>
      <c r="H6" s="10">
        <v>0.92546106752431101</v>
      </c>
      <c r="I6" s="10">
        <v>0.92546106752431101</v>
      </c>
      <c r="J6" s="10">
        <v>0</v>
      </c>
      <c r="K6" t="s">
        <v>40</v>
      </c>
    </row>
    <row r="7" spans="1:12" ht="60" x14ac:dyDescent="0.25">
      <c r="A7" s="11" t="s">
        <v>410</v>
      </c>
      <c r="B7" s="6">
        <v>40000</v>
      </c>
      <c r="C7" s="6">
        <v>40000</v>
      </c>
      <c r="D7" s="6">
        <v>0</v>
      </c>
      <c r="E7" s="6">
        <v>0</v>
      </c>
      <c r="F7" s="6">
        <v>0</v>
      </c>
      <c r="G7" s="7">
        <v>0</v>
      </c>
      <c r="H7" s="10">
        <v>0</v>
      </c>
      <c r="I7" s="10">
        <v>0</v>
      </c>
      <c r="J7" s="10">
        <v>0</v>
      </c>
      <c r="K7" t="s">
        <v>40</v>
      </c>
    </row>
    <row r="8" spans="1:12" ht="30" x14ac:dyDescent="0.25">
      <c r="A8" s="11" t="s">
        <v>409</v>
      </c>
      <c r="B8" s="6">
        <v>120000</v>
      </c>
      <c r="C8" s="6">
        <v>120000</v>
      </c>
      <c r="D8" s="6">
        <v>0</v>
      </c>
      <c r="E8" s="6">
        <v>119947</v>
      </c>
      <c r="F8" s="6">
        <v>119947</v>
      </c>
      <c r="G8" s="7">
        <v>0.99955833333333299</v>
      </c>
      <c r="H8" s="10">
        <v>0</v>
      </c>
      <c r="I8" s="10">
        <v>0.99955833333333299</v>
      </c>
      <c r="J8" s="10">
        <v>1</v>
      </c>
      <c r="K8" t="s">
        <v>40</v>
      </c>
    </row>
    <row r="9" spans="1:12" x14ac:dyDescent="0.25">
      <c r="B9" s="6">
        <f>SUBTOTAL(109,Table123[Toplam Yıl Ödeneği])</f>
        <v>5169195.92</v>
      </c>
      <c r="C9" s="6">
        <f>SUBTOTAL(109,Table123[Toplam Proje Tutarı])</f>
        <v>5169195.92</v>
      </c>
      <c r="D9" s="6">
        <f>SUBTOTAL(109,Table123[Önceki Yıllar Toplam Harcaması])</f>
        <v>0</v>
      </c>
      <c r="E9" s="6">
        <f>SUBTOTAL(109,Table123[Yılı Harcama Tutarı])</f>
        <v>4834703.26</v>
      </c>
      <c r="F9" s="6">
        <f>SUBTOTAL(109,Table123[Toplam Harcama Tutarı])</f>
        <v>4834703.26</v>
      </c>
      <c r="G9" s="12" t="s">
        <v>408</v>
      </c>
      <c r="H9" s="12" t="s">
        <v>408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B3A7F-1EF7-4030-9E02-35719DDCC6F2}">
  <dimension ref="A1:L5"/>
  <sheetViews>
    <sheetView workbookViewId="0">
      <selection activeCell="J25" sqref="J25"/>
    </sheetView>
  </sheetViews>
  <sheetFormatPr defaultRowHeight="15" x14ac:dyDescent="0.25"/>
  <cols>
    <col min="1" max="1" width="30" customWidth="1"/>
    <col min="2" max="2" width="12" customWidth="1"/>
    <col min="3" max="3" width="11.42578125" customWidth="1"/>
  </cols>
  <sheetData>
    <row r="1" spans="1:12" x14ac:dyDescent="0.25">
      <c r="A1" s="14" t="s">
        <v>415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x14ac:dyDescent="0.25">
      <c r="A3" t="s">
        <v>85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96</v>
      </c>
    </row>
    <row r="4" spans="1:12" x14ac:dyDescent="0.25">
      <c r="A4" t="s">
        <v>414</v>
      </c>
      <c r="B4" s="6">
        <v>36749473</v>
      </c>
      <c r="C4" s="6">
        <v>189326000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</v>
      </c>
    </row>
    <row r="5" spans="1:12" x14ac:dyDescent="0.25">
      <c r="B5" s="6">
        <f>SUBTOTAL(109,Table124[Toplam Yıl Ödeneği])</f>
        <v>36749473</v>
      </c>
      <c r="C5" s="6">
        <f>SUBTOTAL(109,Table124[Toplam Proje Tutarı])</f>
        <v>189326000</v>
      </c>
      <c r="D5" s="6">
        <f>SUBTOTAL(109,Table124[Önceki Yıllar Toplam Harcaması])</f>
        <v>0</v>
      </c>
      <c r="E5" s="6">
        <f>SUBTOTAL(109,Table124[Yılı Harcama Tutarı])</f>
        <v>0</v>
      </c>
      <c r="F5" s="6">
        <f>SUBTOTAL(109,Table124[Toplam Harcama Tutarı])</f>
        <v>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3AE0F-822A-442F-B5DE-AD6345C00AD0}">
  <dimension ref="A1:L6"/>
  <sheetViews>
    <sheetView workbookViewId="0">
      <selection activeCell="A4" sqref="A4:A5"/>
    </sheetView>
  </sheetViews>
  <sheetFormatPr defaultRowHeight="15" x14ac:dyDescent="0.25"/>
  <cols>
    <col min="1" max="1" width="36.140625" customWidth="1"/>
    <col min="2" max="2" width="11.85546875" customWidth="1"/>
    <col min="3" max="3" width="10.28515625" customWidth="1"/>
    <col min="4" max="4" width="10.85546875" customWidth="1"/>
    <col min="5" max="5" width="10.28515625" customWidth="1"/>
  </cols>
  <sheetData>
    <row r="1" spans="1:12" x14ac:dyDescent="0.25">
      <c r="A1" s="14" t="s">
        <v>418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417</v>
      </c>
      <c r="B4" s="6">
        <v>76700</v>
      </c>
      <c r="C4" s="6">
        <v>76700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</v>
      </c>
    </row>
    <row r="5" spans="1:12" x14ac:dyDescent="0.25">
      <c r="A5" s="11" t="s">
        <v>416</v>
      </c>
      <c r="B5" s="6">
        <v>2945000</v>
      </c>
      <c r="C5" s="6">
        <v>2945000</v>
      </c>
      <c r="D5" s="6">
        <v>0</v>
      </c>
      <c r="E5" s="6">
        <v>2945000</v>
      </c>
      <c r="F5" s="6">
        <v>2945000</v>
      </c>
      <c r="G5" s="7">
        <v>1</v>
      </c>
      <c r="H5" s="10">
        <v>1</v>
      </c>
      <c r="I5" s="10">
        <v>1</v>
      </c>
      <c r="J5" s="10">
        <v>1</v>
      </c>
      <c r="K5" t="s">
        <v>39</v>
      </c>
    </row>
    <row r="6" spans="1:12" x14ac:dyDescent="0.25">
      <c r="B6" s="6">
        <f>SUBTOTAL(109,Table125[Toplam Yıl Ödeneği])</f>
        <v>3021700</v>
      </c>
      <c r="C6" s="6">
        <f>SUBTOTAL(109,Table125[Toplam Proje Tutarı])</f>
        <v>3021700</v>
      </c>
      <c r="D6" s="6">
        <f>SUBTOTAL(109,Table125[Önceki Yıllar Toplam Harcaması])</f>
        <v>0</v>
      </c>
      <c r="E6" s="6">
        <f>SUBTOTAL(109,Table125[Yılı Harcama Tutarı])</f>
        <v>2945000</v>
      </c>
      <c r="F6" s="6">
        <f>SUBTOTAL(109,Table125[Toplam Harcama Tutarı])</f>
        <v>2945000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A171-B273-47AC-8C94-574477945595}">
  <sheetPr>
    <pageSetUpPr fitToPage="1"/>
  </sheetPr>
  <dimension ref="A1:L8"/>
  <sheetViews>
    <sheetView workbookViewId="0">
      <selection sqref="A1:L1"/>
    </sheetView>
  </sheetViews>
  <sheetFormatPr defaultRowHeight="15" x14ac:dyDescent="0.25"/>
  <cols>
    <col min="1" max="1" width="35.42578125" customWidth="1"/>
    <col min="2" max="2" width="10.85546875" customWidth="1"/>
    <col min="3" max="3" width="10.7109375" customWidth="1"/>
    <col min="4" max="4" width="11.28515625" customWidth="1"/>
    <col min="5" max="5" width="11" customWidth="1"/>
    <col min="6" max="6" width="10.7109375" customWidth="1"/>
  </cols>
  <sheetData>
    <row r="1" spans="1:12" x14ac:dyDescent="0.25">
      <c r="A1" s="14" t="s">
        <v>423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422</v>
      </c>
      <c r="B4" s="6">
        <v>300000</v>
      </c>
      <c r="C4" s="6">
        <v>450760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398</v>
      </c>
    </row>
    <row r="5" spans="1:12" ht="30" x14ac:dyDescent="0.25">
      <c r="A5" s="11" t="s">
        <v>421</v>
      </c>
      <c r="B5" s="6">
        <v>50302119.109999999</v>
      </c>
      <c r="C5" s="6">
        <v>56446969.399999999</v>
      </c>
      <c r="D5" s="6">
        <v>6144850.29</v>
      </c>
      <c r="E5" s="6">
        <v>49389081.109999999</v>
      </c>
      <c r="F5" s="6">
        <v>55533931.399999999</v>
      </c>
      <c r="G5" s="7">
        <v>0.98382485349160298</v>
      </c>
      <c r="H5" s="10">
        <v>0.17040976546643899</v>
      </c>
      <c r="I5" s="10">
        <v>0.98184891578815203</v>
      </c>
      <c r="J5" s="10">
        <v>0.99</v>
      </c>
      <c r="K5" t="s">
        <v>398</v>
      </c>
    </row>
    <row r="6" spans="1:12" ht="30" x14ac:dyDescent="0.25">
      <c r="A6" s="11" t="s">
        <v>420</v>
      </c>
      <c r="B6" s="6">
        <v>26719768.239999998</v>
      </c>
      <c r="C6" s="6">
        <v>27247620</v>
      </c>
      <c r="D6" s="6">
        <v>0</v>
      </c>
      <c r="E6" s="6">
        <v>16822530.739999998</v>
      </c>
      <c r="F6" s="6">
        <v>16822530.739999998</v>
      </c>
      <c r="G6" s="7">
        <v>0.61739450051050304</v>
      </c>
      <c r="H6" s="10">
        <v>5.5692006256713E-2</v>
      </c>
      <c r="I6" s="10">
        <v>0.62959119214276504</v>
      </c>
      <c r="J6" s="10">
        <v>0.9</v>
      </c>
      <c r="K6" t="s">
        <v>398</v>
      </c>
    </row>
    <row r="7" spans="1:12" ht="30" x14ac:dyDescent="0.25">
      <c r="A7" s="11" t="s">
        <v>419</v>
      </c>
      <c r="B7" s="6">
        <v>1487715</v>
      </c>
      <c r="C7" s="6">
        <v>1714337</v>
      </c>
      <c r="D7" s="6">
        <v>226622</v>
      </c>
      <c r="E7" s="6">
        <v>1397551.86</v>
      </c>
      <c r="F7" s="6">
        <v>1624173.86</v>
      </c>
      <c r="G7" s="7">
        <v>0.94740640842494805</v>
      </c>
      <c r="H7" s="10">
        <v>0</v>
      </c>
      <c r="I7" s="10">
        <v>0.93939488410078598</v>
      </c>
      <c r="J7" s="10">
        <v>0.98</v>
      </c>
      <c r="K7" t="s">
        <v>44</v>
      </c>
    </row>
    <row r="8" spans="1:12" x14ac:dyDescent="0.25">
      <c r="B8" s="6">
        <f>SUBTOTAL(109,Table126[Toplam Yıl Ödeneği])</f>
        <v>78809602.349999994</v>
      </c>
      <c r="C8" s="6">
        <f>SUBTOTAL(109,Table126[Toplam Proje Tutarı])</f>
        <v>85859686.400000006</v>
      </c>
      <c r="D8" s="6">
        <f>SUBTOTAL(109,Table126[Önceki Yıllar Toplam Harcaması])</f>
        <v>6371472.29</v>
      </c>
      <c r="E8" s="6">
        <f>SUBTOTAL(109,Table126[Yılı Harcama Tutarı])</f>
        <v>67609163.709999993</v>
      </c>
      <c r="F8" s="6">
        <f>SUBTOTAL(109,Table126[Toplam Harcama Tutarı])</f>
        <v>73980636</v>
      </c>
    </row>
  </sheetData>
  <mergeCells count="1">
    <mergeCell ref="A1:L1"/>
  </mergeCells>
  <pageMargins left="0.7" right="0.7" top="0.75" bottom="0.75" header="0.3" footer="0.3"/>
  <pageSetup paperSize="9" scale="90" fitToHeight="0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3FFF7-C55F-4BD8-AD96-3D67C64FF75E}">
  <dimension ref="A1:K16"/>
  <sheetViews>
    <sheetView workbookViewId="0">
      <selection sqref="A1:K1"/>
    </sheetView>
  </sheetViews>
  <sheetFormatPr defaultRowHeight="15" x14ac:dyDescent="0.25"/>
  <cols>
    <col min="1" max="1" width="33.85546875" customWidth="1"/>
    <col min="2" max="2" width="11.42578125" customWidth="1"/>
    <col min="3" max="3" width="12.42578125" customWidth="1"/>
    <col min="4" max="4" width="11" customWidth="1"/>
    <col min="5" max="5" width="10.85546875" customWidth="1"/>
    <col min="6" max="6" width="12.85546875" customWidth="1"/>
  </cols>
  <sheetData>
    <row r="1" spans="1:11" x14ac:dyDescent="0.25">
      <c r="A1" s="14" t="s">
        <v>436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s="11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1" x14ac:dyDescent="0.25">
      <c r="A4" s="11" t="s">
        <v>435</v>
      </c>
      <c r="B4" s="6">
        <v>173375</v>
      </c>
      <c r="C4" s="6">
        <v>1750000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</v>
      </c>
    </row>
    <row r="5" spans="1:11" ht="23.25" customHeight="1" x14ac:dyDescent="0.25">
      <c r="A5" s="11" t="s">
        <v>434</v>
      </c>
      <c r="B5" s="6">
        <v>56000</v>
      </c>
      <c r="C5" s="6">
        <v>554000</v>
      </c>
      <c r="D5" s="6">
        <v>0</v>
      </c>
      <c r="E5" s="6">
        <v>0</v>
      </c>
      <c r="F5" s="6">
        <v>0</v>
      </c>
      <c r="G5" s="7">
        <v>0</v>
      </c>
      <c r="H5" s="10">
        <v>0</v>
      </c>
      <c r="I5" s="10">
        <v>0</v>
      </c>
      <c r="J5" s="10">
        <v>0</v>
      </c>
      <c r="K5" t="s">
        <v>39</v>
      </c>
    </row>
    <row r="6" spans="1:11" x14ac:dyDescent="0.25">
      <c r="A6" s="11" t="s">
        <v>433</v>
      </c>
      <c r="B6" s="6">
        <v>2000</v>
      </c>
      <c r="C6" s="6">
        <v>2459250</v>
      </c>
      <c r="D6" s="6">
        <v>0</v>
      </c>
      <c r="E6" s="6">
        <v>0</v>
      </c>
      <c r="F6" s="6">
        <v>0</v>
      </c>
      <c r="G6" s="7">
        <v>0</v>
      </c>
      <c r="H6" s="10">
        <v>0</v>
      </c>
      <c r="I6" s="10">
        <v>0</v>
      </c>
      <c r="J6" s="10">
        <v>0</v>
      </c>
      <c r="K6" t="s">
        <v>39</v>
      </c>
    </row>
    <row r="7" spans="1:11" ht="45" x14ac:dyDescent="0.25">
      <c r="A7" s="11" t="s">
        <v>432</v>
      </c>
      <c r="B7" s="6">
        <v>2000</v>
      </c>
      <c r="C7" s="6">
        <v>2660000</v>
      </c>
      <c r="D7" s="6">
        <v>0</v>
      </c>
      <c r="E7" s="6">
        <v>0</v>
      </c>
      <c r="F7" s="6">
        <v>0</v>
      </c>
      <c r="G7" s="7">
        <v>0</v>
      </c>
      <c r="H7" s="10">
        <v>0</v>
      </c>
      <c r="I7" s="10">
        <v>0</v>
      </c>
      <c r="J7" s="10">
        <v>0</v>
      </c>
      <c r="K7" t="s">
        <v>39</v>
      </c>
    </row>
    <row r="8" spans="1:11" ht="30" x14ac:dyDescent="0.25">
      <c r="A8" s="11" t="s">
        <v>431</v>
      </c>
      <c r="B8" s="6">
        <v>132069194</v>
      </c>
      <c r="C8" s="6">
        <v>1129507420</v>
      </c>
      <c r="D8" s="6">
        <v>317758225.81999999</v>
      </c>
      <c r="E8" s="6">
        <v>132069194</v>
      </c>
      <c r="F8" s="6">
        <v>449827419.81999999</v>
      </c>
      <c r="G8" s="7">
        <v>0.99999999957761598</v>
      </c>
      <c r="H8" s="10">
        <v>0.264109480444016</v>
      </c>
      <c r="I8" s="10">
        <v>1</v>
      </c>
      <c r="J8" s="10">
        <v>1</v>
      </c>
      <c r="K8" t="s">
        <v>39</v>
      </c>
    </row>
    <row r="9" spans="1:11" ht="60" x14ac:dyDescent="0.25">
      <c r="A9" s="11" t="s">
        <v>430</v>
      </c>
      <c r="B9" s="6">
        <v>13002000</v>
      </c>
      <c r="C9" s="6">
        <v>52886750</v>
      </c>
      <c r="D9" s="6">
        <v>0</v>
      </c>
      <c r="E9" s="6">
        <v>0</v>
      </c>
      <c r="F9" s="6">
        <v>0</v>
      </c>
      <c r="G9" s="7">
        <v>0</v>
      </c>
      <c r="H9" s="10">
        <v>0</v>
      </c>
      <c r="I9" s="10">
        <v>0</v>
      </c>
      <c r="J9" s="10">
        <v>0</v>
      </c>
      <c r="K9" t="s">
        <v>39</v>
      </c>
    </row>
    <row r="10" spans="1:11" ht="30" x14ac:dyDescent="0.25">
      <c r="A10" s="11" t="s">
        <v>429</v>
      </c>
      <c r="B10" s="6">
        <v>1997939</v>
      </c>
      <c r="C10" s="6">
        <v>7767940</v>
      </c>
      <c r="D10" s="6">
        <v>0</v>
      </c>
      <c r="E10" s="6">
        <v>1997939.03</v>
      </c>
      <c r="F10" s="6">
        <v>1997939.03</v>
      </c>
      <c r="G10" s="7">
        <v>0.25720320059114798</v>
      </c>
      <c r="H10" s="10">
        <v>0.25720320059114798</v>
      </c>
      <c r="I10" s="10">
        <v>0.25720320059114798</v>
      </c>
      <c r="J10" s="10">
        <v>0.3</v>
      </c>
      <c r="K10" t="s">
        <v>44</v>
      </c>
    </row>
    <row r="11" spans="1:11" x14ac:dyDescent="0.25">
      <c r="A11" s="11" t="s">
        <v>428</v>
      </c>
      <c r="B11" s="6">
        <v>2000</v>
      </c>
      <c r="C11" s="6">
        <v>4800000</v>
      </c>
      <c r="D11" s="6">
        <v>0</v>
      </c>
      <c r="E11" s="6">
        <v>0</v>
      </c>
      <c r="F11" s="6">
        <v>0</v>
      </c>
      <c r="G11" s="7">
        <v>0</v>
      </c>
      <c r="H11" s="10">
        <v>0</v>
      </c>
      <c r="I11" s="10">
        <v>0</v>
      </c>
      <c r="J11" s="10">
        <v>0</v>
      </c>
      <c r="K11" t="s">
        <v>43</v>
      </c>
    </row>
    <row r="12" spans="1:11" ht="30" x14ac:dyDescent="0.25">
      <c r="A12" s="11" t="s">
        <v>427</v>
      </c>
      <c r="B12" s="6">
        <v>3873973</v>
      </c>
      <c r="C12" s="6">
        <v>8272900</v>
      </c>
      <c r="D12" s="6">
        <v>4398927</v>
      </c>
      <c r="E12" s="6">
        <v>3572956.66</v>
      </c>
      <c r="F12" s="6">
        <v>7971883.6600000001</v>
      </c>
      <c r="G12" s="7">
        <v>0.96361416915470999</v>
      </c>
      <c r="H12" s="10">
        <v>0.92229777027356696</v>
      </c>
      <c r="I12" s="10">
        <v>0.92229777027356696</v>
      </c>
      <c r="J12" s="10">
        <v>0.99</v>
      </c>
      <c r="K12" t="s">
        <v>39</v>
      </c>
    </row>
    <row r="13" spans="1:11" ht="19.5" customHeight="1" x14ac:dyDescent="0.25">
      <c r="A13" s="11" t="s">
        <v>426</v>
      </c>
      <c r="B13" s="6">
        <v>2000</v>
      </c>
      <c r="C13" s="6">
        <v>7600000</v>
      </c>
      <c r="D13" s="6">
        <v>0</v>
      </c>
      <c r="E13" s="6">
        <v>0</v>
      </c>
      <c r="F13" s="6">
        <v>0</v>
      </c>
      <c r="G13" s="7">
        <v>0</v>
      </c>
      <c r="H13" s="10">
        <v>0</v>
      </c>
      <c r="I13" s="10">
        <v>0</v>
      </c>
      <c r="J13" s="10">
        <v>0</v>
      </c>
      <c r="K13" t="s">
        <v>42</v>
      </c>
    </row>
    <row r="14" spans="1:11" x14ac:dyDescent="0.25">
      <c r="A14" s="11" t="s">
        <v>425</v>
      </c>
      <c r="B14" s="6">
        <v>2000</v>
      </c>
      <c r="C14" s="6">
        <v>7600000</v>
      </c>
      <c r="D14" s="6">
        <v>0</v>
      </c>
      <c r="E14" s="6">
        <v>0</v>
      </c>
      <c r="F14" s="6">
        <v>0</v>
      </c>
      <c r="G14" s="7">
        <v>0</v>
      </c>
      <c r="H14" s="10">
        <v>0</v>
      </c>
      <c r="I14" s="10">
        <v>0</v>
      </c>
      <c r="J14" s="10">
        <v>0</v>
      </c>
      <c r="K14" t="s">
        <v>38</v>
      </c>
    </row>
    <row r="15" spans="1:11" x14ac:dyDescent="0.25">
      <c r="A15" s="11" t="s">
        <v>424</v>
      </c>
      <c r="B15" s="6">
        <v>2000</v>
      </c>
      <c r="C15" s="6">
        <v>140000</v>
      </c>
      <c r="D15" s="6">
        <v>0</v>
      </c>
      <c r="E15" s="6">
        <v>0</v>
      </c>
      <c r="F15" s="6">
        <v>0</v>
      </c>
      <c r="G15" s="7">
        <v>0</v>
      </c>
      <c r="H15" s="10">
        <v>0</v>
      </c>
      <c r="I15" s="10">
        <v>0</v>
      </c>
      <c r="J15" s="10">
        <v>0</v>
      </c>
      <c r="K15" t="s">
        <v>46</v>
      </c>
    </row>
    <row r="16" spans="1:11" x14ac:dyDescent="0.25">
      <c r="B16" s="6">
        <f>SUBTOTAL(109,Table127[Toplam Yıl Ödeneği])</f>
        <v>151184481</v>
      </c>
      <c r="C16" s="6">
        <f>SUBTOTAL(109,Table127[Toplam Proje Tutarı])</f>
        <v>1225998260</v>
      </c>
      <c r="D16" s="6">
        <f>SUBTOTAL(109,Table127[Önceki Yıllar Toplam Harcaması])</f>
        <v>322157152.81999999</v>
      </c>
      <c r="E16" s="6">
        <f>SUBTOTAL(109,Table127[Yılı Harcama Tutarı])</f>
        <v>137640089.69</v>
      </c>
      <c r="F16" s="6">
        <f>SUBTOTAL(109,Table127[Toplam Harcama Tutarı])</f>
        <v>459797242.50999999</v>
      </c>
    </row>
  </sheetData>
  <mergeCells count="1">
    <mergeCell ref="A1:K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0F35-ABBF-43DB-9560-F34C678F0EFD}">
  <dimension ref="A1:L29"/>
  <sheetViews>
    <sheetView topLeftCell="A19" workbookViewId="0">
      <selection activeCell="M9" sqref="M9"/>
    </sheetView>
  </sheetViews>
  <sheetFormatPr defaultRowHeight="15" x14ac:dyDescent="0.25"/>
  <cols>
    <col min="1" max="1" width="37.140625" customWidth="1"/>
    <col min="2" max="2" width="11.42578125" customWidth="1"/>
    <col min="3" max="3" width="11.5703125" customWidth="1"/>
    <col min="4" max="4" width="10" customWidth="1"/>
    <col min="5" max="5" width="11.42578125" customWidth="1"/>
    <col min="6" max="6" width="11.85546875" customWidth="1"/>
  </cols>
  <sheetData>
    <row r="1" spans="1:12" x14ac:dyDescent="0.25">
      <c r="A1" s="15" t="s">
        <v>461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460</v>
      </c>
      <c r="B4" s="6">
        <v>3000000</v>
      </c>
      <c r="C4" s="6">
        <v>3000000</v>
      </c>
      <c r="D4" s="6">
        <v>0</v>
      </c>
      <c r="E4" s="6">
        <v>3000000</v>
      </c>
      <c r="F4" s="6">
        <v>3000000</v>
      </c>
      <c r="G4" s="7">
        <v>1</v>
      </c>
      <c r="H4" s="10">
        <v>1</v>
      </c>
      <c r="I4" s="10">
        <v>1</v>
      </c>
      <c r="J4" s="10">
        <v>1</v>
      </c>
      <c r="K4" t="s">
        <v>39</v>
      </c>
    </row>
    <row r="5" spans="1:12" x14ac:dyDescent="0.25">
      <c r="A5" s="11" t="s">
        <v>459</v>
      </c>
      <c r="B5" s="6">
        <v>25255</v>
      </c>
      <c r="C5" s="6">
        <v>25255</v>
      </c>
      <c r="D5" s="6">
        <v>0</v>
      </c>
      <c r="E5" s="6">
        <v>25255</v>
      </c>
      <c r="F5" s="6">
        <v>25255</v>
      </c>
      <c r="G5" s="7">
        <v>1</v>
      </c>
      <c r="H5" s="10">
        <v>0</v>
      </c>
      <c r="I5" s="10">
        <v>1</v>
      </c>
      <c r="J5" s="10">
        <v>1</v>
      </c>
      <c r="K5" t="s">
        <v>39</v>
      </c>
    </row>
    <row r="6" spans="1:12" ht="45" x14ac:dyDescent="0.25">
      <c r="A6" s="11" t="s">
        <v>458</v>
      </c>
      <c r="B6" s="6">
        <v>49826</v>
      </c>
      <c r="C6" s="6">
        <v>49826</v>
      </c>
      <c r="D6" s="6">
        <v>0</v>
      </c>
      <c r="E6" s="6">
        <v>49826</v>
      </c>
      <c r="F6" s="6">
        <v>49826</v>
      </c>
      <c r="G6" s="7">
        <v>1</v>
      </c>
      <c r="H6" s="10">
        <v>0.27758599927748601</v>
      </c>
      <c r="I6" s="10">
        <v>1</v>
      </c>
      <c r="J6" s="10">
        <v>1</v>
      </c>
      <c r="K6" t="s">
        <v>39</v>
      </c>
    </row>
    <row r="7" spans="1:12" ht="30" x14ac:dyDescent="0.25">
      <c r="A7" s="11" t="s">
        <v>457</v>
      </c>
      <c r="B7" s="6">
        <v>132998</v>
      </c>
      <c r="C7" s="6">
        <v>132998</v>
      </c>
      <c r="D7" s="6">
        <v>0</v>
      </c>
      <c r="E7" s="6">
        <v>132998</v>
      </c>
      <c r="F7" s="6">
        <v>132998</v>
      </c>
      <c r="G7" s="7">
        <v>1</v>
      </c>
      <c r="H7" s="10">
        <v>0.10806929427510201</v>
      </c>
      <c r="I7" s="10">
        <v>1</v>
      </c>
      <c r="J7" s="10">
        <v>1</v>
      </c>
      <c r="K7" t="s">
        <v>39</v>
      </c>
    </row>
    <row r="8" spans="1:12" x14ac:dyDescent="0.25">
      <c r="A8" s="11" t="s">
        <v>456</v>
      </c>
      <c r="B8" s="6">
        <v>1056479.6299999999</v>
      </c>
      <c r="C8" s="6">
        <v>1056479.6299999999</v>
      </c>
      <c r="D8" s="6">
        <v>0</v>
      </c>
      <c r="E8" s="6">
        <v>1056479.6299999999</v>
      </c>
      <c r="F8" s="6">
        <v>1056479.6299999999</v>
      </c>
      <c r="G8" s="7">
        <v>1</v>
      </c>
      <c r="H8" s="10">
        <v>0</v>
      </c>
      <c r="I8" s="10">
        <v>1</v>
      </c>
      <c r="J8" s="10">
        <v>1</v>
      </c>
      <c r="K8" t="s">
        <v>39</v>
      </c>
    </row>
    <row r="9" spans="1:12" ht="30" x14ac:dyDescent="0.25">
      <c r="A9" s="11" t="s">
        <v>455</v>
      </c>
      <c r="B9" s="6">
        <v>0</v>
      </c>
      <c r="C9" s="6">
        <v>57500000</v>
      </c>
      <c r="D9" s="6">
        <v>0</v>
      </c>
      <c r="E9" s="6">
        <v>0</v>
      </c>
      <c r="F9" s="6">
        <v>0</v>
      </c>
      <c r="G9" s="7">
        <v>0</v>
      </c>
      <c r="H9" s="10">
        <v>0</v>
      </c>
      <c r="I9" s="10">
        <v>0</v>
      </c>
      <c r="J9" s="10">
        <v>0</v>
      </c>
      <c r="K9" t="s">
        <v>39</v>
      </c>
    </row>
    <row r="10" spans="1:12" ht="30" x14ac:dyDescent="0.25">
      <c r="A10" s="11" t="s">
        <v>454</v>
      </c>
      <c r="B10" s="6">
        <v>71500</v>
      </c>
      <c r="C10" s="6">
        <v>71500</v>
      </c>
      <c r="D10" s="6">
        <v>0</v>
      </c>
      <c r="E10" s="6">
        <v>71500</v>
      </c>
      <c r="F10" s="6">
        <v>71500</v>
      </c>
      <c r="G10" s="7">
        <v>1</v>
      </c>
      <c r="H10" s="10">
        <v>0</v>
      </c>
      <c r="I10" s="10">
        <v>1</v>
      </c>
      <c r="J10" s="10">
        <v>1</v>
      </c>
      <c r="K10" t="s">
        <v>39</v>
      </c>
    </row>
    <row r="11" spans="1:12" ht="30" x14ac:dyDescent="0.25">
      <c r="A11" s="11" t="s">
        <v>453</v>
      </c>
      <c r="B11" s="6">
        <v>48035</v>
      </c>
      <c r="C11" s="6">
        <v>48035</v>
      </c>
      <c r="D11" s="6">
        <v>0</v>
      </c>
      <c r="E11" s="6">
        <v>48035</v>
      </c>
      <c r="F11" s="6">
        <v>48035</v>
      </c>
      <c r="G11" s="7">
        <v>1</v>
      </c>
      <c r="H11" s="10">
        <v>0.34062662641823699</v>
      </c>
      <c r="I11" s="10">
        <v>1</v>
      </c>
      <c r="J11" s="10">
        <v>1</v>
      </c>
      <c r="K11" t="s">
        <v>39</v>
      </c>
    </row>
    <row r="12" spans="1:12" ht="30" x14ac:dyDescent="0.25">
      <c r="A12" s="11" t="s">
        <v>452</v>
      </c>
      <c r="B12" s="6">
        <v>339292</v>
      </c>
      <c r="C12" s="6">
        <v>339292</v>
      </c>
      <c r="D12" s="6">
        <v>0</v>
      </c>
      <c r="E12" s="6">
        <v>339292</v>
      </c>
      <c r="F12" s="6">
        <v>339292</v>
      </c>
      <c r="G12" s="7">
        <v>1</v>
      </c>
      <c r="H12" s="10">
        <v>4.21230090895158E-2</v>
      </c>
      <c r="I12" s="10">
        <v>1</v>
      </c>
      <c r="J12" s="10">
        <v>1</v>
      </c>
      <c r="K12" t="s">
        <v>309</v>
      </c>
    </row>
    <row r="13" spans="1:12" x14ac:dyDescent="0.25">
      <c r="A13" s="11" t="s">
        <v>451</v>
      </c>
      <c r="B13" s="6">
        <v>690000</v>
      </c>
      <c r="C13" s="6">
        <v>690000</v>
      </c>
      <c r="D13" s="6">
        <v>0</v>
      </c>
      <c r="E13" s="6">
        <v>690000</v>
      </c>
      <c r="F13" s="6">
        <v>690000</v>
      </c>
      <c r="G13" s="7">
        <v>1</v>
      </c>
      <c r="H13" s="10">
        <v>0.54924782608695699</v>
      </c>
      <c r="I13" s="10">
        <v>1</v>
      </c>
      <c r="J13" s="10">
        <v>1</v>
      </c>
      <c r="K13" t="s">
        <v>39</v>
      </c>
    </row>
    <row r="14" spans="1:12" ht="45" x14ac:dyDescent="0.25">
      <c r="A14" s="11" t="s">
        <v>450</v>
      </c>
      <c r="B14" s="6">
        <v>302848.59999999998</v>
      </c>
      <c r="C14" s="6">
        <v>302848.59999999998</v>
      </c>
      <c r="D14" s="6">
        <v>0</v>
      </c>
      <c r="E14" s="6">
        <v>302848.59999999998</v>
      </c>
      <c r="F14" s="6">
        <v>302848.59999999998</v>
      </c>
      <c r="G14" s="7">
        <v>1</v>
      </c>
      <c r="H14" s="10">
        <v>1.5869315558995501E-2</v>
      </c>
      <c r="I14" s="10">
        <v>1</v>
      </c>
      <c r="J14" s="10">
        <v>1</v>
      </c>
      <c r="K14" t="s">
        <v>39</v>
      </c>
    </row>
    <row r="15" spans="1:12" ht="30" x14ac:dyDescent="0.25">
      <c r="A15" s="11" t="s">
        <v>449</v>
      </c>
      <c r="B15" s="6">
        <v>4000</v>
      </c>
      <c r="C15" s="6">
        <v>4000</v>
      </c>
      <c r="D15" s="6">
        <v>0</v>
      </c>
      <c r="E15" s="6">
        <v>4000</v>
      </c>
      <c r="F15" s="6">
        <v>4000</v>
      </c>
      <c r="G15" s="7">
        <v>1</v>
      </c>
      <c r="H15" s="10">
        <v>0</v>
      </c>
      <c r="I15" s="10">
        <v>1</v>
      </c>
      <c r="J15" s="10">
        <v>1</v>
      </c>
      <c r="K15" t="s">
        <v>39</v>
      </c>
    </row>
    <row r="16" spans="1:12" ht="30" x14ac:dyDescent="0.25">
      <c r="A16" s="11" t="s">
        <v>448</v>
      </c>
      <c r="B16" s="6">
        <v>5492</v>
      </c>
      <c r="C16" s="6">
        <v>5492</v>
      </c>
      <c r="D16" s="6">
        <v>0</v>
      </c>
      <c r="E16" s="6">
        <v>5492</v>
      </c>
      <c r="F16" s="6">
        <v>5492</v>
      </c>
      <c r="G16" s="7">
        <v>1</v>
      </c>
      <c r="H16" s="10">
        <v>0</v>
      </c>
      <c r="I16" s="10">
        <v>1</v>
      </c>
      <c r="J16" s="10">
        <v>1</v>
      </c>
      <c r="K16" t="s">
        <v>39</v>
      </c>
    </row>
    <row r="17" spans="1:11" ht="30" x14ac:dyDescent="0.25">
      <c r="A17" s="11" t="s">
        <v>447</v>
      </c>
      <c r="B17" s="6">
        <v>2586.6</v>
      </c>
      <c r="C17" s="6">
        <v>2586.6</v>
      </c>
      <c r="D17" s="6">
        <v>0</v>
      </c>
      <c r="E17" s="6">
        <v>2586.6</v>
      </c>
      <c r="F17" s="6">
        <v>2586.6</v>
      </c>
      <c r="G17" s="7">
        <v>1</v>
      </c>
      <c r="H17" s="10">
        <v>0</v>
      </c>
      <c r="I17" s="10">
        <v>1</v>
      </c>
      <c r="J17" s="10">
        <v>1</v>
      </c>
      <c r="K17" t="s">
        <v>38</v>
      </c>
    </row>
    <row r="18" spans="1:11" ht="30" x14ac:dyDescent="0.25">
      <c r="A18" s="11" t="s">
        <v>446</v>
      </c>
      <c r="B18" s="6">
        <v>1755568.29</v>
      </c>
      <c r="C18" s="6">
        <v>1755568.29</v>
      </c>
      <c r="D18" s="6">
        <v>0</v>
      </c>
      <c r="E18" s="6">
        <v>1755568.29</v>
      </c>
      <c r="F18" s="6">
        <v>1755568.29</v>
      </c>
      <c r="G18" s="7">
        <v>1</v>
      </c>
      <c r="H18" s="10">
        <v>0.168224438594753</v>
      </c>
      <c r="I18" s="10">
        <v>1</v>
      </c>
      <c r="J18" s="10">
        <v>1</v>
      </c>
      <c r="K18" t="s">
        <v>39</v>
      </c>
    </row>
    <row r="19" spans="1:11" ht="30" x14ac:dyDescent="0.25">
      <c r="A19" s="11" t="s">
        <v>445</v>
      </c>
      <c r="B19" s="6">
        <v>65003.4</v>
      </c>
      <c r="C19" s="6">
        <v>65003.4</v>
      </c>
      <c r="D19" s="6">
        <v>0</v>
      </c>
      <c r="E19" s="6">
        <v>65003.4</v>
      </c>
      <c r="F19" s="6">
        <v>65003.4</v>
      </c>
      <c r="G19" s="7">
        <v>1</v>
      </c>
      <c r="H19" s="10">
        <v>0</v>
      </c>
      <c r="I19" s="10">
        <v>1</v>
      </c>
      <c r="J19" s="10">
        <v>1</v>
      </c>
      <c r="K19" t="s">
        <v>39</v>
      </c>
    </row>
    <row r="20" spans="1:11" ht="30" x14ac:dyDescent="0.25">
      <c r="A20" s="11" t="s">
        <v>444</v>
      </c>
      <c r="B20" s="6">
        <v>13123</v>
      </c>
      <c r="C20" s="6">
        <v>13123</v>
      </c>
      <c r="D20" s="6">
        <v>0</v>
      </c>
      <c r="E20" s="6">
        <v>13123</v>
      </c>
      <c r="F20" s="6">
        <v>13123</v>
      </c>
      <c r="G20" s="7">
        <v>1</v>
      </c>
      <c r="H20" s="10">
        <v>0.46979882648784599</v>
      </c>
      <c r="I20" s="10">
        <v>1</v>
      </c>
      <c r="J20" s="10">
        <v>1</v>
      </c>
      <c r="K20" t="s">
        <v>39</v>
      </c>
    </row>
    <row r="21" spans="1:11" ht="45" x14ac:dyDescent="0.25">
      <c r="A21" s="11" t="s">
        <v>443</v>
      </c>
      <c r="B21" s="6">
        <v>8119</v>
      </c>
      <c r="C21" s="6">
        <v>8119</v>
      </c>
      <c r="D21" s="6">
        <v>0</v>
      </c>
      <c r="E21" s="6">
        <v>8119</v>
      </c>
      <c r="F21" s="6">
        <v>8119</v>
      </c>
      <c r="G21" s="7">
        <v>1</v>
      </c>
      <c r="H21" s="10">
        <v>0.74886069713018799</v>
      </c>
      <c r="I21" s="10">
        <v>1</v>
      </c>
      <c r="J21" s="10">
        <v>1</v>
      </c>
      <c r="K21" t="s">
        <v>39</v>
      </c>
    </row>
    <row r="22" spans="1:11" x14ac:dyDescent="0.25">
      <c r="A22" s="11" t="s">
        <v>442</v>
      </c>
      <c r="B22" s="6">
        <v>1215469.43</v>
      </c>
      <c r="C22" s="6">
        <v>1215469.43</v>
      </c>
      <c r="D22" s="6">
        <v>0</v>
      </c>
      <c r="E22" s="6">
        <v>1215469.43</v>
      </c>
      <c r="F22" s="6">
        <v>1215469.43</v>
      </c>
      <c r="G22" s="7">
        <v>1</v>
      </c>
      <c r="H22" s="10">
        <v>0.26084714446499901</v>
      </c>
      <c r="I22" s="10">
        <v>1</v>
      </c>
      <c r="J22" s="10">
        <v>1</v>
      </c>
      <c r="K22" t="s">
        <v>39</v>
      </c>
    </row>
    <row r="23" spans="1:11" ht="30" x14ac:dyDescent="0.25">
      <c r="A23" s="11" t="s">
        <v>441</v>
      </c>
      <c r="B23" s="6">
        <v>88674.9</v>
      </c>
      <c r="C23" s="6">
        <v>88674.9</v>
      </c>
      <c r="D23" s="6">
        <v>0</v>
      </c>
      <c r="E23" s="6">
        <v>88674.9</v>
      </c>
      <c r="F23" s="6">
        <v>88674.9</v>
      </c>
      <c r="G23" s="7">
        <v>1</v>
      </c>
      <c r="H23" s="10">
        <v>0.32155446467940801</v>
      </c>
      <c r="I23" s="10">
        <v>1</v>
      </c>
      <c r="J23" s="10">
        <v>1</v>
      </c>
      <c r="K23" t="s">
        <v>39</v>
      </c>
    </row>
    <row r="24" spans="1:11" ht="30" x14ac:dyDescent="0.25">
      <c r="A24" s="11" t="s">
        <v>440</v>
      </c>
      <c r="B24" s="6">
        <v>3760.99</v>
      </c>
      <c r="C24" s="6">
        <v>3760.99</v>
      </c>
      <c r="D24" s="6">
        <v>0</v>
      </c>
      <c r="E24" s="6">
        <v>3760.99</v>
      </c>
      <c r="F24" s="6">
        <v>3760.99</v>
      </c>
      <c r="G24" s="7">
        <v>1</v>
      </c>
      <c r="H24" s="10">
        <v>1</v>
      </c>
      <c r="I24" s="10">
        <v>1</v>
      </c>
      <c r="J24" s="10">
        <v>1</v>
      </c>
      <c r="K24" t="s">
        <v>39</v>
      </c>
    </row>
    <row r="25" spans="1:11" x14ac:dyDescent="0.25">
      <c r="A25" s="11" t="s">
        <v>439</v>
      </c>
      <c r="B25" s="6">
        <v>63151.69</v>
      </c>
      <c r="C25" s="6">
        <v>63151.69</v>
      </c>
      <c r="D25" s="6">
        <v>0</v>
      </c>
      <c r="E25" s="6">
        <v>63151.69</v>
      </c>
      <c r="F25" s="6">
        <v>63151.69</v>
      </c>
      <c r="G25" s="7">
        <v>1</v>
      </c>
      <c r="H25" s="10">
        <v>0.103275145922461</v>
      </c>
      <c r="I25" s="10">
        <v>1</v>
      </c>
      <c r="J25" s="10">
        <v>1</v>
      </c>
      <c r="K25" t="s">
        <v>39</v>
      </c>
    </row>
    <row r="26" spans="1:11" ht="30" x14ac:dyDescent="0.25">
      <c r="A26" s="11" t="s">
        <v>438</v>
      </c>
      <c r="B26" s="6">
        <v>986.5</v>
      </c>
      <c r="C26" s="6">
        <v>2998.5</v>
      </c>
      <c r="D26" s="6">
        <v>0</v>
      </c>
      <c r="E26" s="6">
        <v>986.5</v>
      </c>
      <c r="F26" s="6">
        <v>986.5</v>
      </c>
      <c r="G26" s="7">
        <v>0.328997832249458</v>
      </c>
      <c r="H26" s="10">
        <v>0</v>
      </c>
      <c r="I26" s="10">
        <v>1</v>
      </c>
      <c r="J26" s="10">
        <v>1</v>
      </c>
      <c r="K26" t="s">
        <v>39</v>
      </c>
    </row>
    <row r="27" spans="1:11" ht="30" x14ac:dyDescent="0.25">
      <c r="A27" s="11" t="s">
        <v>438</v>
      </c>
      <c r="B27" s="6">
        <v>2998.5</v>
      </c>
      <c r="C27" s="6">
        <v>2998.5</v>
      </c>
      <c r="D27" s="6">
        <v>0</v>
      </c>
      <c r="E27" s="6">
        <v>2998.5</v>
      </c>
      <c r="F27" s="6">
        <v>2998.5</v>
      </c>
      <c r="G27" s="7">
        <v>1</v>
      </c>
      <c r="H27" s="10">
        <v>0.671002167750542</v>
      </c>
      <c r="I27" s="10">
        <v>1</v>
      </c>
      <c r="J27" s="10">
        <v>1</v>
      </c>
      <c r="K27" t="s">
        <v>39</v>
      </c>
    </row>
    <row r="28" spans="1:11" ht="30" x14ac:dyDescent="0.25">
      <c r="A28" s="11" t="s">
        <v>437</v>
      </c>
      <c r="B28" s="6">
        <v>357199.12</v>
      </c>
      <c r="C28" s="6">
        <v>357199.12</v>
      </c>
      <c r="D28" s="6">
        <v>0</v>
      </c>
      <c r="E28" s="6">
        <v>357199.12</v>
      </c>
      <c r="F28" s="6">
        <v>357199.12</v>
      </c>
      <c r="G28" s="7">
        <v>1</v>
      </c>
      <c r="H28" s="10">
        <v>0</v>
      </c>
      <c r="I28" s="10">
        <v>1</v>
      </c>
      <c r="J28" s="10">
        <v>1</v>
      </c>
      <c r="K28" t="s">
        <v>39</v>
      </c>
    </row>
    <row r="29" spans="1:11" x14ac:dyDescent="0.25">
      <c r="B29" s="6">
        <f>SUBTOTAL(109,Table128[Toplam Yıl Ödeneği])</f>
        <v>9302367.6499999985</v>
      </c>
      <c r="C29" s="6">
        <f>SUBTOTAL(109,Table128[Toplam Proje Tutarı])</f>
        <v>66804379.649999999</v>
      </c>
      <c r="D29" s="6">
        <f>SUBTOTAL(109,Table128[Önceki Yıllar Toplam Harcaması])</f>
        <v>0</v>
      </c>
      <c r="E29" s="6">
        <f>SUBTOTAL(109,Table128[Yılı Harcama Tutarı])</f>
        <v>9302367.6499999985</v>
      </c>
      <c r="F29" s="6">
        <f>SUBTOTAL(109,Table128[Toplam Harcama Tutarı])</f>
        <v>9302367.6499999985</v>
      </c>
    </row>
  </sheetData>
  <mergeCells count="1">
    <mergeCell ref="A1:L1"/>
  </mergeCells>
  <pageMargins left="0.7" right="0.7" top="0.75" bottom="0.75" header="0.3" footer="0.3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0D6C5-D866-4785-A8D3-645EA22D849C}">
  <sheetPr>
    <pageSetUpPr fitToPage="1"/>
  </sheetPr>
  <dimension ref="A1:L38"/>
  <sheetViews>
    <sheetView workbookViewId="0">
      <selection activeCell="O11" sqref="O11"/>
    </sheetView>
  </sheetViews>
  <sheetFormatPr defaultRowHeight="15" x14ac:dyDescent="0.25"/>
  <cols>
    <col min="1" max="1" width="37.5703125" customWidth="1"/>
    <col min="2" max="2" width="13.140625" customWidth="1"/>
    <col min="3" max="3" width="11.28515625" customWidth="1"/>
    <col min="4" max="4" width="10.5703125" customWidth="1"/>
    <col min="5" max="5" width="11.140625" customWidth="1"/>
    <col min="6" max="6" width="12" customWidth="1"/>
  </cols>
  <sheetData>
    <row r="1" spans="1:12" x14ac:dyDescent="0.25">
      <c r="A1" s="14" t="s">
        <v>496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ht="30" x14ac:dyDescent="0.25">
      <c r="A4" s="11" t="s">
        <v>495</v>
      </c>
      <c r="B4" s="6">
        <v>49565784</v>
      </c>
      <c r="C4" s="6">
        <v>49565784</v>
      </c>
      <c r="D4" s="6">
        <v>0</v>
      </c>
      <c r="E4" s="6">
        <v>49565784</v>
      </c>
      <c r="F4" s="6">
        <v>49565784</v>
      </c>
      <c r="G4" s="7">
        <v>1</v>
      </c>
      <c r="H4" s="10">
        <v>0.55583932658061097</v>
      </c>
      <c r="I4" s="10">
        <v>1</v>
      </c>
      <c r="J4" s="10">
        <v>1</v>
      </c>
    </row>
    <row r="5" spans="1:12" x14ac:dyDescent="0.25">
      <c r="A5" s="11" t="s">
        <v>494</v>
      </c>
      <c r="B5" s="6">
        <v>7077238</v>
      </c>
      <c r="C5" s="6">
        <v>7077238</v>
      </c>
      <c r="D5" s="6">
        <v>0</v>
      </c>
      <c r="E5" s="6">
        <v>2645481</v>
      </c>
      <c r="F5" s="6">
        <v>2645481</v>
      </c>
      <c r="G5" s="7">
        <v>0.37380133323197601</v>
      </c>
      <c r="H5" s="10">
        <v>0.37380133323197601</v>
      </c>
      <c r="I5" s="10">
        <v>0.37380133323197601</v>
      </c>
      <c r="J5" s="10">
        <v>0.4</v>
      </c>
      <c r="K5" t="s">
        <v>39</v>
      </c>
    </row>
    <row r="6" spans="1:12" x14ac:dyDescent="0.25">
      <c r="A6" s="11" t="s">
        <v>493</v>
      </c>
      <c r="B6" s="6">
        <v>0</v>
      </c>
      <c r="C6" s="6">
        <v>1</v>
      </c>
      <c r="D6" s="6">
        <v>0</v>
      </c>
      <c r="E6" s="6">
        <v>0</v>
      </c>
      <c r="F6" s="6">
        <v>0</v>
      </c>
      <c r="G6" s="7">
        <v>0</v>
      </c>
      <c r="H6" s="10">
        <v>0</v>
      </c>
      <c r="I6" s="10">
        <v>0</v>
      </c>
      <c r="J6" s="10">
        <v>0.95</v>
      </c>
      <c r="K6" t="s">
        <v>39</v>
      </c>
    </row>
    <row r="7" spans="1:12" ht="30" x14ac:dyDescent="0.25">
      <c r="A7" s="11" t="s">
        <v>492</v>
      </c>
      <c r="B7" s="6">
        <v>1181349</v>
      </c>
      <c r="C7" s="6">
        <v>1181349</v>
      </c>
      <c r="D7" s="6">
        <v>0</v>
      </c>
      <c r="E7" s="6">
        <v>1181349</v>
      </c>
      <c r="F7" s="6">
        <v>1181349</v>
      </c>
      <c r="G7" s="7">
        <v>1</v>
      </c>
      <c r="H7" s="10">
        <v>0.74186205769844504</v>
      </c>
      <c r="I7" s="10">
        <v>1</v>
      </c>
      <c r="J7" s="10">
        <v>1</v>
      </c>
      <c r="K7" t="s">
        <v>309</v>
      </c>
    </row>
    <row r="8" spans="1:12" ht="30" x14ac:dyDescent="0.25">
      <c r="A8" s="11" t="s">
        <v>491</v>
      </c>
      <c r="B8" s="6">
        <v>2750000</v>
      </c>
      <c r="C8" s="6">
        <v>7920000</v>
      </c>
      <c r="D8" s="6">
        <v>0</v>
      </c>
      <c r="E8" s="6">
        <v>0</v>
      </c>
      <c r="F8" s="6">
        <v>0</v>
      </c>
      <c r="G8" s="7">
        <v>0</v>
      </c>
      <c r="H8" s="10">
        <v>0</v>
      </c>
      <c r="I8" s="10">
        <v>0</v>
      </c>
      <c r="J8" s="10">
        <v>0</v>
      </c>
      <c r="K8" t="s">
        <v>39</v>
      </c>
    </row>
    <row r="9" spans="1:12" ht="45" x14ac:dyDescent="0.25">
      <c r="A9" s="11" t="s">
        <v>490</v>
      </c>
      <c r="B9" s="6">
        <v>970636</v>
      </c>
      <c r="C9" s="6">
        <v>970636</v>
      </c>
      <c r="D9" s="6">
        <v>0</v>
      </c>
      <c r="E9" s="6">
        <v>970636</v>
      </c>
      <c r="F9" s="6">
        <v>970636</v>
      </c>
      <c r="G9" s="7">
        <v>1</v>
      </c>
      <c r="H9" s="10">
        <v>1</v>
      </c>
      <c r="I9" s="10">
        <v>1</v>
      </c>
      <c r="J9" s="10">
        <v>1</v>
      </c>
      <c r="K9" t="s">
        <v>309</v>
      </c>
    </row>
    <row r="10" spans="1:12" ht="30" x14ac:dyDescent="0.25">
      <c r="A10" s="11" t="s">
        <v>489</v>
      </c>
      <c r="B10" s="6">
        <v>230000</v>
      </c>
      <c r="C10" s="6">
        <v>230000</v>
      </c>
      <c r="D10" s="6">
        <v>0</v>
      </c>
      <c r="E10" s="6">
        <v>230000</v>
      </c>
      <c r="F10" s="6">
        <v>230000</v>
      </c>
      <c r="G10" s="7">
        <v>1</v>
      </c>
      <c r="H10" s="10">
        <v>1</v>
      </c>
      <c r="I10" s="10">
        <v>1</v>
      </c>
      <c r="J10" s="10">
        <v>1</v>
      </c>
      <c r="K10" t="s">
        <v>44</v>
      </c>
    </row>
    <row r="11" spans="1:12" ht="30" x14ac:dyDescent="0.25">
      <c r="A11" s="11" t="s">
        <v>488</v>
      </c>
      <c r="B11" s="6">
        <v>0</v>
      </c>
      <c r="C11" s="6">
        <v>1</v>
      </c>
      <c r="D11" s="6">
        <v>0</v>
      </c>
      <c r="E11" s="6">
        <v>0</v>
      </c>
      <c r="F11" s="6">
        <v>0</v>
      </c>
      <c r="G11" s="7">
        <v>0</v>
      </c>
      <c r="H11" s="10">
        <v>0</v>
      </c>
      <c r="I11" s="10">
        <v>0</v>
      </c>
      <c r="J11" s="10">
        <v>0.35</v>
      </c>
      <c r="K11" t="s">
        <v>39</v>
      </c>
    </row>
    <row r="12" spans="1:12" x14ac:dyDescent="0.25">
      <c r="A12" s="11" t="s">
        <v>487</v>
      </c>
      <c r="B12" s="6">
        <v>23076663</v>
      </c>
      <c r="C12" s="6">
        <v>94823821</v>
      </c>
      <c r="D12" s="6">
        <v>0</v>
      </c>
      <c r="E12" s="6">
        <v>23076663</v>
      </c>
      <c r="F12" s="6">
        <v>23076663</v>
      </c>
      <c r="G12" s="7">
        <v>0.24336356367668399</v>
      </c>
      <c r="H12" s="10">
        <v>0.35036699999999998</v>
      </c>
      <c r="I12" s="10">
        <v>0.57691657500000004</v>
      </c>
      <c r="J12" s="10">
        <v>0.3</v>
      </c>
      <c r="K12" t="s">
        <v>39</v>
      </c>
    </row>
    <row r="13" spans="1:12" x14ac:dyDescent="0.25">
      <c r="A13" s="11" t="s">
        <v>486</v>
      </c>
      <c r="B13" s="6">
        <v>534167</v>
      </c>
      <c r="C13" s="6">
        <v>3699030</v>
      </c>
      <c r="D13" s="6">
        <v>3164863</v>
      </c>
      <c r="E13" s="6">
        <v>534167</v>
      </c>
      <c r="F13" s="6">
        <v>3699030</v>
      </c>
      <c r="G13" s="7">
        <v>1</v>
      </c>
      <c r="H13" s="10">
        <v>0</v>
      </c>
      <c r="I13" s="10">
        <v>1</v>
      </c>
      <c r="J13" s="10">
        <v>1</v>
      </c>
      <c r="K13" t="s">
        <v>39</v>
      </c>
    </row>
    <row r="14" spans="1:12" x14ac:dyDescent="0.25">
      <c r="A14" s="11" t="s">
        <v>485</v>
      </c>
      <c r="B14" s="6">
        <v>1</v>
      </c>
      <c r="C14" s="6">
        <v>1</v>
      </c>
      <c r="D14" s="6">
        <v>0</v>
      </c>
      <c r="E14" s="6">
        <v>0</v>
      </c>
      <c r="F14" s="6">
        <v>0</v>
      </c>
      <c r="G14" s="7">
        <v>0</v>
      </c>
      <c r="H14" s="10">
        <v>0</v>
      </c>
      <c r="I14" s="10">
        <v>0</v>
      </c>
      <c r="J14" s="10">
        <v>0.95</v>
      </c>
      <c r="K14" t="s">
        <v>39</v>
      </c>
    </row>
    <row r="15" spans="1:12" ht="45" x14ac:dyDescent="0.25">
      <c r="A15" s="11" t="s">
        <v>484</v>
      </c>
      <c r="B15" s="6">
        <v>805289</v>
      </c>
      <c r="C15" s="6">
        <v>805289</v>
      </c>
      <c r="D15" s="6">
        <v>0</v>
      </c>
      <c r="E15" s="6">
        <v>805289</v>
      </c>
      <c r="F15" s="6">
        <v>805289</v>
      </c>
      <c r="G15" s="7">
        <v>1</v>
      </c>
      <c r="H15" s="10">
        <v>0.27553586352228798</v>
      </c>
      <c r="I15" s="10">
        <v>1</v>
      </c>
      <c r="J15" s="10">
        <v>1</v>
      </c>
      <c r="K15" t="s">
        <v>309</v>
      </c>
    </row>
    <row r="16" spans="1:12" x14ac:dyDescent="0.25">
      <c r="A16" s="11" t="s">
        <v>483</v>
      </c>
      <c r="B16" s="6">
        <v>11000000</v>
      </c>
      <c r="C16" s="6">
        <v>26987780</v>
      </c>
      <c r="D16" s="6">
        <v>0</v>
      </c>
      <c r="E16" s="6">
        <v>6222884</v>
      </c>
      <c r="F16" s="6">
        <v>6222884</v>
      </c>
      <c r="G16" s="7">
        <v>0.23058154468429801</v>
      </c>
      <c r="H16" s="10">
        <v>0.56571672727272704</v>
      </c>
      <c r="I16" s="10">
        <v>0.56571672727272704</v>
      </c>
      <c r="J16" s="10">
        <v>0.2</v>
      </c>
      <c r="K16" t="s">
        <v>39</v>
      </c>
    </row>
    <row r="17" spans="1:11" ht="30" x14ac:dyDescent="0.25">
      <c r="A17" s="11" t="s">
        <v>482</v>
      </c>
      <c r="B17" s="6">
        <v>409974</v>
      </c>
      <c r="C17" s="6">
        <v>4020338</v>
      </c>
      <c r="D17" s="6">
        <v>3610364</v>
      </c>
      <c r="E17" s="6">
        <v>407041</v>
      </c>
      <c r="F17" s="6">
        <v>4017405</v>
      </c>
      <c r="G17" s="7">
        <v>0.99927045934943803</v>
      </c>
      <c r="H17" s="10">
        <v>0</v>
      </c>
      <c r="I17" s="10">
        <v>0.99284588778800598</v>
      </c>
      <c r="J17" s="10">
        <v>1</v>
      </c>
      <c r="K17" t="s">
        <v>39</v>
      </c>
    </row>
    <row r="18" spans="1:11" x14ac:dyDescent="0.25">
      <c r="A18" s="11" t="s">
        <v>481</v>
      </c>
      <c r="B18" s="6">
        <v>1</v>
      </c>
      <c r="C18" s="6">
        <v>1</v>
      </c>
      <c r="D18" s="6">
        <v>0</v>
      </c>
      <c r="E18" s="6">
        <v>0</v>
      </c>
      <c r="F18" s="6">
        <v>0</v>
      </c>
      <c r="G18" s="7">
        <v>0</v>
      </c>
      <c r="H18" s="10">
        <v>0</v>
      </c>
      <c r="I18" s="10">
        <v>0</v>
      </c>
      <c r="J18" s="10">
        <v>1</v>
      </c>
      <c r="K18" t="s">
        <v>44</v>
      </c>
    </row>
    <row r="19" spans="1:11" x14ac:dyDescent="0.25">
      <c r="A19" s="11" t="s">
        <v>480</v>
      </c>
      <c r="B19" s="6">
        <v>1</v>
      </c>
      <c r="C19" s="6">
        <v>1</v>
      </c>
      <c r="D19" s="6">
        <v>0</v>
      </c>
      <c r="E19" s="6">
        <v>0</v>
      </c>
      <c r="F19" s="6">
        <v>0</v>
      </c>
      <c r="G19" s="7">
        <v>0</v>
      </c>
      <c r="H19" s="10">
        <v>0</v>
      </c>
      <c r="I19" s="10">
        <v>0</v>
      </c>
      <c r="J19" s="10">
        <v>1</v>
      </c>
      <c r="K19" t="s">
        <v>38</v>
      </c>
    </row>
    <row r="20" spans="1:11" x14ac:dyDescent="0.25">
      <c r="A20" s="11" t="s">
        <v>479</v>
      </c>
      <c r="B20" s="6">
        <v>0</v>
      </c>
      <c r="C20" s="6">
        <v>1</v>
      </c>
      <c r="D20" s="6">
        <v>0</v>
      </c>
      <c r="E20" s="6">
        <v>0</v>
      </c>
      <c r="F20" s="6">
        <v>0</v>
      </c>
      <c r="G20" s="7">
        <v>0</v>
      </c>
      <c r="H20" s="10">
        <v>0</v>
      </c>
      <c r="I20" s="10">
        <v>0</v>
      </c>
      <c r="J20" s="10">
        <v>0.6</v>
      </c>
      <c r="K20" t="s">
        <v>38</v>
      </c>
    </row>
    <row r="21" spans="1:11" ht="30" x14ac:dyDescent="0.25">
      <c r="A21" s="11" t="s">
        <v>478</v>
      </c>
      <c r="B21" s="6">
        <v>3000000</v>
      </c>
      <c r="C21" s="6">
        <v>7920000</v>
      </c>
      <c r="D21" s="6">
        <v>0</v>
      </c>
      <c r="E21" s="6">
        <v>0</v>
      </c>
      <c r="F21" s="6">
        <v>0</v>
      </c>
      <c r="G21" s="7">
        <v>0</v>
      </c>
      <c r="H21" s="10">
        <v>0</v>
      </c>
      <c r="I21" s="10">
        <v>0</v>
      </c>
      <c r="J21" s="10">
        <v>0</v>
      </c>
      <c r="K21" t="s">
        <v>43</v>
      </c>
    </row>
    <row r="22" spans="1:11" x14ac:dyDescent="0.25">
      <c r="A22" s="11" t="s">
        <v>477</v>
      </c>
      <c r="B22" s="6">
        <v>0</v>
      </c>
      <c r="C22" s="6">
        <v>1</v>
      </c>
      <c r="D22" s="6">
        <v>0</v>
      </c>
      <c r="E22" s="6">
        <v>0</v>
      </c>
      <c r="F22" s="6">
        <v>0</v>
      </c>
      <c r="G22" s="7">
        <v>0</v>
      </c>
      <c r="H22" s="10">
        <v>0</v>
      </c>
      <c r="I22" s="10">
        <v>0</v>
      </c>
      <c r="J22" s="10">
        <v>0.9</v>
      </c>
      <c r="K22" t="s">
        <v>39</v>
      </c>
    </row>
    <row r="23" spans="1:11" ht="30" x14ac:dyDescent="0.25">
      <c r="A23" s="11" t="s">
        <v>476</v>
      </c>
      <c r="B23" s="6">
        <v>0</v>
      </c>
      <c r="C23" s="6">
        <v>33000000</v>
      </c>
      <c r="D23" s="6">
        <v>0</v>
      </c>
      <c r="E23" s="6">
        <v>0</v>
      </c>
      <c r="F23" s="6">
        <v>0</v>
      </c>
      <c r="G23" s="7">
        <v>0</v>
      </c>
      <c r="H23" s="10">
        <v>0</v>
      </c>
      <c r="I23" s="10">
        <v>0</v>
      </c>
      <c r="J23" s="10">
        <v>0</v>
      </c>
      <c r="K23" t="s">
        <v>39</v>
      </c>
    </row>
    <row r="24" spans="1:11" ht="30" x14ac:dyDescent="0.25">
      <c r="A24" s="11" t="s">
        <v>475</v>
      </c>
      <c r="B24" s="6">
        <v>7248362</v>
      </c>
      <c r="C24" s="6">
        <v>7248362</v>
      </c>
      <c r="D24" s="6">
        <v>0</v>
      </c>
      <c r="E24" s="6">
        <v>7248362</v>
      </c>
      <c r="F24" s="6">
        <v>7248362</v>
      </c>
      <c r="G24" s="7">
        <v>1</v>
      </c>
      <c r="H24" s="10">
        <v>0.65763478700429101</v>
      </c>
      <c r="I24" s="10">
        <v>1</v>
      </c>
      <c r="J24" s="10">
        <v>1</v>
      </c>
      <c r="K24" t="s">
        <v>309</v>
      </c>
    </row>
    <row r="25" spans="1:11" ht="30" x14ac:dyDescent="0.25">
      <c r="A25" s="11" t="s">
        <v>474</v>
      </c>
      <c r="B25" s="6">
        <v>1536266</v>
      </c>
      <c r="C25" s="6">
        <v>3418907</v>
      </c>
      <c r="D25" s="6">
        <v>1882641</v>
      </c>
      <c r="E25" s="6">
        <v>1536266</v>
      </c>
      <c r="F25" s="6">
        <v>3418907</v>
      </c>
      <c r="G25" s="7">
        <v>1</v>
      </c>
      <c r="H25" s="10">
        <v>0</v>
      </c>
      <c r="I25" s="10">
        <v>1</v>
      </c>
      <c r="J25" s="10">
        <v>1</v>
      </c>
      <c r="K25" t="s">
        <v>39</v>
      </c>
    </row>
    <row r="26" spans="1:11" ht="30" x14ac:dyDescent="0.25">
      <c r="A26" s="11" t="s">
        <v>473</v>
      </c>
      <c r="B26" s="6">
        <v>863031</v>
      </c>
      <c r="C26" s="6">
        <v>863031</v>
      </c>
      <c r="D26" s="6">
        <v>0</v>
      </c>
      <c r="E26" s="6">
        <v>863031</v>
      </c>
      <c r="F26" s="6">
        <v>863031</v>
      </c>
      <c r="G26" s="7">
        <v>1</v>
      </c>
      <c r="H26" s="10">
        <v>0</v>
      </c>
      <c r="I26" s="10">
        <v>1</v>
      </c>
      <c r="J26" s="10">
        <v>1</v>
      </c>
      <c r="K26" t="s">
        <v>39</v>
      </c>
    </row>
    <row r="27" spans="1:11" ht="64.5" customHeight="1" x14ac:dyDescent="0.25">
      <c r="A27" s="11" t="s">
        <v>472</v>
      </c>
      <c r="B27" s="6">
        <v>2590815</v>
      </c>
      <c r="C27" s="6">
        <v>2590815</v>
      </c>
      <c r="D27" s="6">
        <v>0</v>
      </c>
      <c r="E27" s="6">
        <v>2590815</v>
      </c>
      <c r="F27" s="6">
        <v>2590815</v>
      </c>
      <c r="G27" s="7">
        <v>1</v>
      </c>
      <c r="H27" s="10">
        <v>0.53947695995275602</v>
      </c>
      <c r="I27" s="10">
        <v>1</v>
      </c>
      <c r="J27" s="10">
        <v>1</v>
      </c>
      <c r="K27" t="s">
        <v>309</v>
      </c>
    </row>
    <row r="28" spans="1:11" ht="30" x14ac:dyDescent="0.25">
      <c r="A28" s="11" t="s">
        <v>471</v>
      </c>
      <c r="B28" s="6">
        <v>2828460</v>
      </c>
      <c r="C28" s="6">
        <v>2828460</v>
      </c>
      <c r="D28" s="6">
        <v>0</v>
      </c>
      <c r="E28" s="6">
        <v>2828460</v>
      </c>
      <c r="F28" s="6">
        <v>2828460</v>
      </c>
      <c r="G28" s="7">
        <v>1</v>
      </c>
      <c r="H28" s="10">
        <v>0.60112251896791902</v>
      </c>
      <c r="I28" s="10">
        <v>1</v>
      </c>
      <c r="J28" s="10">
        <v>1</v>
      </c>
      <c r="K28" t="s">
        <v>309</v>
      </c>
    </row>
    <row r="29" spans="1:11" ht="30" x14ac:dyDescent="0.25">
      <c r="A29" s="11" t="s">
        <v>470</v>
      </c>
      <c r="B29" s="6">
        <v>3000000</v>
      </c>
      <c r="C29" s="6">
        <v>7920000</v>
      </c>
      <c r="D29" s="6">
        <v>0</v>
      </c>
      <c r="E29" s="6">
        <v>0</v>
      </c>
      <c r="F29" s="6">
        <v>0</v>
      </c>
      <c r="G29" s="7">
        <v>0</v>
      </c>
      <c r="H29" s="10">
        <v>0</v>
      </c>
      <c r="I29" s="10">
        <v>0</v>
      </c>
      <c r="J29" s="10">
        <v>0</v>
      </c>
      <c r="K29" t="s">
        <v>39</v>
      </c>
    </row>
    <row r="30" spans="1:11" ht="45" x14ac:dyDescent="0.25">
      <c r="A30" s="11" t="s">
        <v>469</v>
      </c>
      <c r="B30" s="6">
        <v>1144748</v>
      </c>
      <c r="C30" s="6">
        <v>1144748</v>
      </c>
      <c r="D30" s="6">
        <v>0</v>
      </c>
      <c r="E30" s="6">
        <v>1144748</v>
      </c>
      <c r="F30" s="6">
        <v>1144748</v>
      </c>
      <c r="G30" s="7">
        <v>1</v>
      </c>
      <c r="H30" s="10">
        <v>0.51487751015944105</v>
      </c>
      <c r="I30" s="10">
        <v>1</v>
      </c>
      <c r="J30" s="10">
        <v>1</v>
      </c>
      <c r="K30" t="s">
        <v>309</v>
      </c>
    </row>
    <row r="31" spans="1:11" ht="30" x14ac:dyDescent="0.25">
      <c r="A31" s="11" t="s">
        <v>468</v>
      </c>
      <c r="B31" s="6">
        <v>996353</v>
      </c>
      <c r="C31" s="6">
        <v>1391715</v>
      </c>
      <c r="D31" s="6">
        <v>395362</v>
      </c>
      <c r="E31" s="6">
        <v>996353</v>
      </c>
      <c r="F31" s="6">
        <v>1391715</v>
      </c>
      <c r="G31" s="7">
        <v>1</v>
      </c>
      <c r="H31" s="10">
        <v>0</v>
      </c>
      <c r="I31" s="10">
        <v>1</v>
      </c>
      <c r="J31" s="10">
        <v>1</v>
      </c>
      <c r="K31" t="s">
        <v>40</v>
      </c>
    </row>
    <row r="32" spans="1:11" ht="30" x14ac:dyDescent="0.25">
      <c r="A32" s="11" t="s">
        <v>467</v>
      </c>
      <c r="B32" s="6">
        <v>2750000</v>
      </c>
      <c r="C32" s="6">
        <v>7920000</v>
      </c>
      <c r="D32" s="6">
        <v>0</v>
      </c>
      <c r="E32" s="6">
        <v>0</v>
      </c>
      <c r="F32" s="6">
        <v>0</v>
      </c>
      <c r="G32" s="7">
        <v>0</v>
      </c>
      <c r="H32" s="10">
        <v>0</v>
      </c>
      <c r="I32" s="10">
        <v>0</v>
      </c>
      <c r="J32" s="10">
        <v>0</v>
      </c>
      <c r="K32" t="s">
        <v>39</v>
      </c>
    </row>
    <row r="33" spans="1:11" ht="30" x14ac:dyDescent="0.25">
      <c r="A33" s="11" t="s">
        <v>466</v>
      </c>
      <c r="B33" s="6">
        <v>6326228</v>
      </c>
      <c r="C33" s="6">
        <v>6326228</v>
      </c>
      <c r="D33" s="6">
        <v>0</v>
      </c>
      <c r="E33" s="6">
        <v>6326228</v>
      </c>
      <c r="F33" s="6">
        <v>6326228</v>
      </c>
      <c r="G33" s="7">
        <v>1</v>
      </c>
      <c r="H33" s="10">
        <v>0.489964952259071</v>
      </c>
      <c r="I33" s="10">
        <v>1</v>
      </c>
      <c r="J33" s="10">
        <v>1</v>
      </c>
      <c r="K33" t="s">
        <v>309</v>
      </c>
    </row>
    <row r="34" spans="1:11" ht="30" x14ac:dyDescent="0.25">
      <c r="A34" s="11" t="s">
        <v>465</v>
      </c>
      <c r="B34" s="6">
        <v>1563632</v>
      </c>
      <c r="C34" s="6">
        <v>1563632</v>
      </c>
      <c r="D34" s="6">
        <v>0</v>
      </c>
      <c r="E34" s="6">
        <v>1563632</v>
      </c>
      <c r="F34" s="6">
        <v>1563632</v>
      </c>
      <c r="G34" s="7">
        <v>1</v>
      </c>
      <c r="H34" s="10">
        <v>0.66439417970468795</v>
      </c>
      <c r="I34" s="10">
        <v>1</v>
      </c>
      <c r="J34" s="10">
        <v>1</v>
      </c>
      <c r="K34" t="s">
        <v>309</v>
      </c>
    </row>
    <row r="35" spans="1:11" ht="30" x14ac:dyDescent="0.25">
      <c r="A35" s="11" t="s">
        <v>464</v>
      </c>
      <c r="B35" s="6">
        <v>1676674</v>
      </c>
      <c r="C35" s="6">
        <v>1676674</v>
      </c>
      <c r="D35" s="6">
        <v>0</v>
      </c>
      <c r="E35" s="6">
        <v>1676674</v>
      </c>
      <c r="F35" s="6">
        <v>1676674</v>
      </c>
      <c r="G35" s="7">
        <v>1</v>
      </c>
      <c r="H35" s="10">
        <v>0.52955195822205103</v>
      </c>
      <c r="I35" s="10">
        <v>1</v>
      </c>
      <c r="J35" s="10">
        <v>1</v>
      </c>
      <c r="K35" t="s">
        <v>309</v>
      </c>
    </row>
    <row r="36" spans="1:11" ht="30" x14ac:dyDescent="0.25">
      <c r="A36" s="11" t="s">
        <v>463</v>
      </c>
      <c r="B36" s="6">
        <v>3000000</v>
      </c>
      <c r="C36" s="6">
        <v>7920000</v>
      </c>
      <c r="D36" s="6">
        <v>0</v>
      </c>
      <c r="E36" s="6">
        <v>0</v>
      </c>
      <c r="F36" s="6">
        <v>0</v>
      </c>
      <c r="G36" s="7">
        <v>0</v>
      </c>
      <c r="H36" s="10">
        <v>0</v>
      </c>
      <c r="I36" s="10">
        <v>0</v>
      </c>
      <c r="J36" s="10">
        <v>0</v>
      </c>
      <c r="K36" t="s">
        <v>39</v>
      </c>
    </row>
    <row r="37" spans="1:11" x14ac:dyDescent="0.25">
      <c r="A37" s="11" t="s">
        <v>462</v>
      </c>
      <c r="B37" s="6">
        <v>802353</v>
      </c>
      <c r="C37" s="6">
        <v>3032283</v>
      </c>
      <c r="D37" s="6">
        <v>2229930</v>
      </c>
      <c r="E37" s="6">
        <v>802353</v>
      </c>
      <c r="F37" s="6">
        <v>3032283</v>
      </c>
      <c r="G37" s="7">
        <v>1</v>
      </c>
      <c r="H37" s="10">
        <v>0</v>
      </c>
      <c r="I37" s="10">
        <v>1</v>
      </c>
      <c r="J37" s="10">
        <v>1</v>
      </c>
      <c r="K37" t="s">
        <v>39</v>
      </c>
    </row>
    <row r="38" spans="1:11" x14ac:dyDescent="0.25">
      <c r="B38" s="6">
        <f>SUBTOTAL(109,Table129[Toplam Yıl Ödeneği])</f>
        <v>136928025</v>
      </c>
      <c r="C38" s="6">
        <f>SUBTOTAL(109,Table129[Toplam Proje Tutarı])</f>
        <v>294046127</v>
      </c>
      <c r="D38" s="6">
        <f>SUBTOTAL(109,Table129[Önceki Yıllar Toplam Harcaması])</f>
        <v>11283160</v>
      </c>
      <c r="E38" s="6">
        <f>SUBTOTAL(109,Table129[Yılı Harcama Tutarı])</f>
        <v>113216216</v>
      </c>
      <c r="F38" s="6">
        <f>SUBTOTAL(109,Table129[Toplam Harcama Tutarı])</f>
        <v>124499376</v>
      </c>
    </row>
  </sheetData>
  <mergeCells count="1">
    <mergeCell ref="A1:L1"/>
  </mergeCells>
  <pageMargins left="0.7" right="0.7" top="0.75" bottom="0.75" header="0.3" footer="0.3"/>
  <pageSetup paperSize="9" scale="87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5AF10-EC9F-4746-B562-CB47802DAE36}">
  <sheetPr>
    <pageSetUpPr fitToPage="1"/>
  </sheetPr>
  <dimension ref="A1:K15"/>
  <sheetViews>
    <sheetView workbookViewId="0">
      <selection activeCell="L1" sqref="L1"/>
    </sheetView>
  </sheetViews>
  <sheetFormatPr defaultRowHeight="15" x14ac:dyDescent="0.25"/>
  <cols>
    <col min="1" max="1" width="32" customWidth="1"/>
    <col min="2" max="2" width="7.7109375" customWidth="1"/>
    <col min="3" max="3" width="12.7109375" customWidth="1"/>
    <col min="4" max="5" width="14.28515625" customWidth="1"/>
    <col min="6" max="6" width="12.85546875" customWidth="1"/>
    <col min="7" max="7" width="12.5703125" customWidth="1"/>
  </cols>
  <sheetData>
    <row r="1" spans="1:11" x14ac:dyDescent="0.25">
      <c r="A1" s="14" t="s">
        <v>497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25">
      <c r="A4" s="11" t="s">
        <v>33</v>
      </c>
      <c r="B4" s="6">
        <v>468</v>
      </c>
      <c r="C4" s="6">
        <v>152888457.84999999</v>
      </c>
      <c r="D4" s="6">
        <v>204276316.28999999</v>
      </c>
      <c r="E4" s="6">
        <v>4029899</v>
      </c>
      <c r="F4" s="6">
        <v>146358921.91</v>
      </c>
      <c r="G4" s="6">
        <v>150388820.91</v>
      </c>
      <c r="H4" s="7">
        <v>0.73620292181351599</v>
      </c>
      <c r="I4" s="10">
        <v>0.76843737239645404</v>
      </c>
      <c r="J4" s="10">
        <v>0.95729215905620402</v>
      </c>
      <c r="K4" s="10">
        <v>0.95973895582329305</v>
      </c>
    </row>
    <row r="5" spans="1:11" x14ac:dyDescent="0.25">
      <c r="A5" s="11" t="s">
        <v>34</v>
      </c>
      <c r="B5" s="6">
        <v>17</v>
      </c>
      <c r="C5" s="6">
        <v>33146711.66</v>
      </c>
      <c r="D5" s="6">
        <v>164040121.58000001</v>
      </c>
      <c r="E5" s="6">
        <v>130893409.92</v>
      </c>
      <c r="F5" s="6">
        <v>23215394.289999999</v>
      </c>
      <c r="G5" s="6">
        <v>154108804.21000001</v>
      </c>
      <c r="H5" s="7">
        <v>0.93945799799254204</v>
      </c>
      <c r="I5" s="10">
        <v>0.23664646497848099</v>
      </c>
      <c r="J5" s="10">
        <v>0.70038302828136401</v>
      </c>
      <c r="K5" s="10">
        <v>0.98031746031746003</v>
      </c>
    </row>
    <row r="6" spans="1:11" x14ac:dyDescent="0.25">
      <c r="B6" s="6">
        <f>SUBTOTAL(109,Table13[Proje Sayısı])</f>
        <v>485</v>
      </c>
      <c r="C6" s="6">
        <f>SUBTOTAL(109,Table13[Toplam Yıl Ödeneği])</f>
        <v>186035169.50999999</v>
      </c>
      <c r="D6" s="6">
        <f>SUBTOTAL(109,Table13[Toplam Proje Tutarı])</f>
        <v>368316437.87</v>
      </c>
      <c r="E6" s="6">
        <f>SUBTOTAL(109,Table13[Önceki Yıllar Toplam Harcaması])</f>
        <v>134923308.92000002</v>
      </c>
      <c r="F6" s="6">
        <f>SUBTOTAL(109,Table13[Yılı Harcama Tutarı])</f>
        <v>169574316.19999999</v>
      </c>
      <c r="G6" s="6">
        <f>SUBTOTAL(109,Table13[Toplam Harcama Tutarı])</f>
        <v>304497625.12</v>
      </c>
    </row>
    <row r="15" spans="1:11" ht="21.75" customHeight="1" x14ac:dyDescent="0.25"/>
  </sheetData>
  <mergeCells count="1">
    <mergeCell ref="A1:K1"/>
  </mergeCells>
  <pageMargins left="0.7" right="0.7" top="0.75" bottom="0.75" header="0.3" footer="0.3"/>
  <pageSetup paperSize="9" scale="9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2152D-104B-411B-B374-44D87CE9104C}">
  <sheetPr>
    <pageSetUpPr fitToPage="1"/>
  </sheetPr>
  <dimension ref="A1:J14"/>
  <sheetViews>
    <sheetView tabSelected="1" topLeftCell="A4" workbookViewId="0">
      <selection activeCell="I17" sqref="I17"/>
    </sheetView>
  </sheetViews>
  <sheetFormatPr defaultRowHeight="15" x14ac:dyDescent="0.25"/>
  <cols>
    <col min="1" max="1" width="14.7109375" customWidth="1"/>
    <col min="3" max="3" width="13.5703125" customWidth="1"/>
    <col min="4" max="4" width="14" customWidth="1"/>
    <col min="5" max="5" width="13.7109375" customWidth="1"/>
    <col min="6" max="6" width="12.5703125" customWidth="1"/>
    <col min="7" max="7" width="14.7109375" customWidth="1"/>
  </cols>
  <sheetData>
    <row r="1" spans="1:10" x14ac:dyDescent="0.25">
      <c r="A1" s="14" t="s">
        <v>35</v>
      </c>
      <c r="B1" s="14"/>
      <c r="C1" s="14"/>
      <c r="D1" s="14"/>
      <c r="E1" s="14"/>
      <c r="F1" s="14"/>
      <c r="G1" s="14"/>
      <c r="H1" s="14"/>
      <c r="I1" s="14"/>
      <c r="J1" s="14"/>
    </row>
    <row r="3" spans="1:10" ht="60" x14ac:dyDescent="0.25">
      <c r="A3" s="11" t="s">
        <v>36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9</v>
      </c>
      <c r="J3" s="11" t="s">
        <v>10</v>
      </c>
    </row>
    <row r="4" spans="1:10" ht="25.5" customHeight="1" x14ac:dyDescent="0.25">
      <c r="A4" t="s">
        <v>37</v>
      </c>
      <c r="B4" s="6">
        <v>55</v>
      </c>
      <c r="C4" s="6">
        <v>644618451.32000005</v>
      </c>
      <c r="D4" s="6">
        <v>6047468012.71</v>
      </c>
      <c r="E4" s="6">
        <v>3055302752.1199999</v>
      </c>
      <c r="F4" s="6">
        <v>641944331.51999998</v>
      </c>
      <c r="G4" s="6">
        <v>3697247083.6399999</v>
      </c>
      <c r="H4" s="7">
        <v>0.61137108553025399</v>
      </c>
      <c r="I4" s="10">
        <v>0.99585162386443604</v>
      </c>
      <c r="J4" s="10">
        <v>0.73297297297297304</v>
      </c>
    </row>
    <row r="5" spans="1:10" ht="25.5" customHeight="1" x14ac:dyDescent="0.25">
      <c r="A5" t="s">
        <v>38</v>
      </c>
      <c r="B5" s="6">
        <v>73</v>
      </c>
      <c r="C5" s="6">
        <v>187842312.62</v>
      </c>
      <c r="D5" s="6">
        <v>4352667834.96</v>
      </c>
      <c r="E5" s="6">
        <v>218296930.21000001</v>
      </c>
      <c r="F5" s="6">
        <v>186966339.12</v>
      </c>
      <c r="G5" s="6">
        <v>405263269.32999998</v>
      </c>
      <c r="H5" s="7">
        <v>9.3106867947740896E-2</v>
      </c>
      <c r="I5" s="10">
        <v>0.995336655049749</v>
      </c>
      <c r="J5" s="10">
        <v>0.74835051546391795</v>
      </c>
    </row>
    <row r="6" spans="1:10" ht="26.25" customHeight="1" x14ac:dyDescent="0.25">
      <c r="A6" t="s">
        <v>39</v>
      </c>
      <c r="B6" s="6">
        <v>185</v>
      </c>
      <c r="C6" s="6">
        <v>661426366.82000005</v>
      </c>
      <c r="D6" s="6">
        <v>2981608341.1199999</v>
      </c>
      <c r="E6" s="6">
        <v>674375566.42999995</v>
      </c>
      <c r="F6" s="6">
        <v>518213620.20999998</v>
      </c>
      <c r="G6" s="6">
        <v>1192589186.6400001</v>
      </c>
      <c r="H6" s="7">
        <v>0.39998183872534399</v>
      </c>
      <c r="I6" s="10">
        <v>0.78347892706706401</v>
      </c>
      <c r="J6" s="10">
        <v>0.69132575757575798</v>
      </c>
    </row>
    <row r="7" spans="1:10" ht="27" customHeight="1" x14ac:dyDescent="0.25">
      <c r="A7" t="s">
        <v>40</v>
      </c>
      <c r="B7" s="6">
        <v>80</v>
      </c>
      <c r="C7" s="6">
        <v>45762900.950000003</v>
      </c>
      <c r="D7" s="6">
        <v>1211342602.28</v>
      </c>
      <c r="E7" s="6">
        <v>16842782.629999999</v>
      </c>
      <c r="F7" s="6">
        <v>45307478.950000003</v>
      </c>
      <c r="G7" s="6">
        <v>62150261.579999998</v>
      </c>
      <c r="H7" s="7">
        <v>5.1306922965493197E-2</v>
      </c>
      <c r="I7" s="10">
        <v>0.99004822704536199</v>
      </c>
      <c r="J7" s="10">
        <v>0.68835820895522404</v>
      </c>
    </row>
    <row r="8" spans="1:10" ht="25.5" customHeight="1" x14ac:dyDescent="0.25">
      <c r="A8" t="s">
        <v>41</v>
      </c>
      <c r="B8" s="6">
        <v>34</v>
      </c>
      <c r="C8" s="6">
        <v>21432973.07</v>
      </c>
      <c r="D8" s="6">
        <v>1201706419.5999999</v>
      </c>
      <c r="E8" s="6">
        <v>70453584</v>
      </c>
      <c r="F8" s="6">
        <v>21314941.760000002</v>
      </c>
      <c r="G8" s="6">
        <v>91768525.760000005</v>
      </c>
      <c r="H8" s="7">
        <v>7.6365178934923297E-2</v>
      </c>
      <c r="I8" s="10">
        <v>0.99449300339180602</v>
      </c>
      <c r="J8" s="10">
        <v>0.93188405797101403</v>
      </c>
    </row>
    <row r="9" spans="1:10" ht="30.75" customHeight="1" x14ac:dyDescent="0.25">
      <c r="A9" t="s">
        <v>42</v>
      </c>
      <c r="B9" s="6">
        <v>75</v>
      </c>
      <c r="C9" s="6">
        <v>33553329.600000001</v>
      </c>
      <c r="D9" s="6">
        <v>429192429.54000002</v>
      </c>
      <c r="E9" s="6">
        <v>9205347.9399999995</v>
      </c>
      <c r="F9" s="6">
        <v>31005563.329999998</v>
      </c>
      <c r="G9" s="6">
        <v>40210911.270000003</v>
      </c>
      <c r="H9" s="7">
        <v>9.3689703038558406E-2</v>
      </c>
      <c r="I9" s="10">
        <v>0.92406815358199201</v>
      </c>
      <c r="J9" s="10">
        <v>0.73068181818181799</v>
      </c>
    </row>
    <row r="10" spans="1:10" ht="26.25" customHeight="1" x14ac:dyDescent="0.25">
      <c r="A10" t="s">
        <v>43</v>
      </c>
      <c r="B10" s="6">
        <v>39</v>
      </c>
      <c r="C10" s="6">
        <v>20478880.440000001</v>
      </c>
      <c r="D10" s="6">
        <v>132913243.36</v>
      </c>
      <c r="E10" s="6">
        <v>4855538</v>
      </c>
      <c r="F10" s="6">
        <v>15435715.41</v>
      </c>
      <c r="G10" s="6">
        <v>20291253.41</v>
      </c>
      <c r="H10" s="7">
        <v>0.152665399602359</v>
      </c>
      <c r="I10" s="10">
        <v>0.75373824537060496</v>
      </c>
      <c r="J10" s="10">
        <v>0.616363636363636</v>
      </c>
    </row>
    <row r="11" spans="1:10" ht="25.5" customHeight="1" x14ac:dyDescent="0.25">
      <c r="A11" t="s">
        <v>44</v>
      </c>
      <c r="B11" s="6">
        <v>107</v>
      </c>
      <c r="C11" s="6">
        <v>27336490.449999999</v>
      </c>
      <c r="D11" s="6">
        <v>98359836.510000005</v>
      </c>
      <c r="E11" s="6">
        <v>10027443.949999999</v>
      </c>
      <c r="F11" s="6">
        <v>22498918.280000001</v>
      </c>
      <c r="G11" s="6">
        <v>32526362.23</v>
      </c>
      <c r="H11" s="7">
        <v>0.33068743690615199</v>
      </c>
      <c r="I11" s="10">
        <v>0.82303609240373399</v>
      </c>
      <c r="J11" s="10">
        <v>0.824477611940299</v>
      </c>
    </row>
    <row r="12" spans="1:10" ht="26.25" customHeight="1" x14ac:dyDescent="0.25">
      <c r="A12" t="s">
        <v>45</v>
      </c>
      <c r="B12" s="6">
        <v>32</v>
      </c>
      <c r="C12" s="6">
        <v>18732649.399999999</v>
      </c>
      <c r="D12" s="6">
        <v>68834757.519999996</v>
      </c>
      <c r="E12" s="6">
        <v>6701563.1900000004</v>
      </c>
      <c r="F12" s="6">
        <v>18630453.300000001</v>
      </c>
      <c r="G12" s="6">
        <v>25332016.489999998</v>
      </c>
      <c r="H12" s="7">
        <v>0.36801199572236099</v>
      </c>
      <c r="I12" s="10">
        <v>0.99454449299627601</v>
      </c>
      <c r="J12" s="10">
        <v>0.94533333333333303</v>
      </c>
    </row>
    <row r="13" spans="1:10" ht="27" customHeight="1" x14ac:dyDescent="0.25">
      <c r="A13" t="s">
        <v>46</v>
      </c>
      <c r="B13" s="6">
        <v>16</v>
      </c>
      <c r="C13" s="6">
        <v>2450806</v>
      </c>
      <c r="D13" s="6">
        <v>18054553</v>
      </c>
      <c r="E13" s="6">
        <v>914908</v>
      </c>
      <c r="F13" s="6">
        <v>2448805</v>
      </c>
      <c r="G13" s="6">
        <v>3363713</v>
      </c>
      <c r="H13" s="7">
        <v>0.18630829575232399</v>
      </c>
      <c r="I13" s="10">
        <v>0.99918353390680503</v>
      </c>
      <c r="J13" s="10">
        <v>0.747058823529412</v>
      </c>
    </row>
    <row r="14" spans="1:10" x14ac:dyDescent="0.25">
      <c r="B14" s="6">
        <f>SUBTOTAL(109,Table15[Proje Sayısı])</f>
        <v>696</v>
      </c>
      <c r="C14" s="6">
        <f>SUBTOTAL(109,Table15[Toplam Yıl Ödeneği])</f>
        <v>1663635160.6700003</v>
      </c>
      <c r="D14" s="6">
        <f>SUBTOTAL(109,Table15[Toplam Proje Tutarı])</f>
        <v>16542148030.600004</v>
      </c>
      <c r="E14" s="6">
        <f>SUBTOTAL(109,Table15[Önceki Yıllar Toplam Harcaması])</f>
        <v>4066976416.4699998</v>
      </c>
      <c r="F14" s="6">
        <f>SUBTOTAL(109,Table15[Yılı Harcama Tutarı])</f>
        <v>1503766166.8799999</v>
      </c>
      <c r="G14" s="6">
        <f>SUBTOTAL(109,Table15[Toplam Harcama Tutarı])</f>
        <v>5570742583.3499994</v>
      </c>
      <c r="H14" s="12" t="s">
        <v>47</v>
      </c>
      <c r="I14" t="s">
        <v>31</v>
      </c>
    </row>
  </sheetData>
  <mergeCells count="1">
    <mergeCell ref="A1:J1"/>
  </mergeCells>
  <pageMargins left="0.7" right="0.7" top="0.75" bottom="0.75" header="0.3" footer="0.3"/>
  <pageSetup paperSize="9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C5AD4-7F3B-4101-91C5-BF3EF8B11656}">
  <sheetPr>
    <pageSetUpPr fitToPage="1"/>
  </sheetPr>
  <dimension ref="A1:J13"/>
  <sheetViews>
    <sheetView workbookViewId="0">
      <selection activeCell="L10" sqref="L10"/>
    </sheetView>
  </sheetViews>
  <sheetFormatPr defaultRowHeight="15" x14ac:dyDescent="0.25"/>
  <cols>
    <col min="1" max="1" width="29" customWidth="1"/>
    <col min="3" max="3" width="13.7109375" customWidth="1"/>
    <col min="4" max="4" width="14.7109375" customWidth="1"/>
    <col min="5" max="5" width="13.140625" customWidth="1"/>
    <col min="6" max="6" width="14" customWidth="1"/>
    <col min="7" max="7" width="13.7109375" customWidth="1"/>
  </cols>
  <sheetData>
    <row r="1" spans="1:10" x14ac:dyDescent="0.25">
      <c r="A1" s="14" t="s">
        <v>59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60" x14ac:dyDescent="0.25">
      <c r="A3" s="11" t="s">
        <v>58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9</v>
      </c>
      <c r="J3" s="11" t="s">
        <v>10</v>
      </c>
    </row>
    <row r="4" spans="1:10" ht="30.75" customHeight="1" x14ac:dyDescent="0.25">
      <c r="A4" t="s">
        <v>57</v>
      </c>
      <c r="B4" s="6">
        <v>201</v>
      </c>
      <c r="C4" s="6">
        <v>899917191.71000004</v>
      </c>
      <c r="D4" s="6">
        <v>11477603574.83</v>
      </c>
      <c r="E4" s="6">
        <v>3258421144.6599998</v>
      </c>
      <c r="F4" s="6">
        <v>896145221.21000004</v>
      </c>
      <c r="G4" s="6">
        <v>4154566365.8699999</v>
      </c>
      <c r="H4" s="7">
        <v>0.36197158568717502</v>
      </c>
      <c r="I4" s="10">
        <v>0.99580853601337205</v>
      </c>
      <c r="J4" s="10">
        <v>0.686906474820144</v>
      </c>
    </row>
    <row r="5" spans="1:10" ht="28.5" customHeight="1" x14ac:dyDescent="0.25">
      <c r="A5" t="s">
        <v>56</v>
      </c>
      <c r="B5" s="6">
        <v>121</v>
      </c>
      <c r="C5" s="6">
        <v>127983055.09</v>
      </c>
      <c r="D5" s="6">
        <v>2770105587.0900002</v>
      </c>
      <c r="E5" s="6">
        <v>137836305</v>
      </c>
      <c r="F5" s="6">
        <v>127106699.27</v>
      </c>
      <c r="G5" s="6">
        <v>264943004.27000001</v>
      </c>
      <c r="H5" s="7">
        <v>9.56436482077649E-2</v>
      </c>
      <c r="I5" s="10">
        <v>0.99315256367818605</v>
      </c>
      <c r="J5" s="10">
        <v>0.69069252077562304</v>
      </c>
    </row>
    <row r="6" spans="1:10" ht="30.75" customHeight="1" x14ac:dyDescent="0.25">
      <c r="A6" t="s">
        <v>55</v>
      </c>
      <c r="B6" s="6">
        <v>56</v>
      </c>
      <c r="C6" s="6">
        <v>278886410.12</v>
      </c>
      <c r="D6" s="6">
        <v>745455005.72000003</v>
      </c>
      <c r="E6" s="6">
        <v>185572045.94</v>
      </c>
      <c r="F6" s="6">
        <v>196359547.69999999</v>
      </c>
      <c r="G6" s="6">
        <v>381931593.63999999</v>
      </c>
      <c r="H6" s="7">
        <v>0.51234694342297704</v>
      </c>
      <c r="I6" s="10">
        <v>0.70408431739470501</v>
      </c>
      <c r="J6" s="10">
        <v>0.71149758454106304</v>
      </c>
    </row>
    <row r="7" spans="1:10" ht="29.25" customHeight="1" x14ac:dyDescent="0.25">
      <c r="A7" t="s">
        <v>54</v>
      </c>
      <c r="B7" s="6">
        <v>12</v>
      </c>
      <c r="C7" s="6">
        <v>151184481.03</v>
      </c>
      <c r="D7" s="6">
        <v>546318260.00999999</v>
      </c>
      <c r="E7" s="6">
        <v>322157152.81999999</v>
      </c>
      <c r="F7" s="6">
        <v>137640089.69</v>
      </c>
      <c r="G7" s="6">
        <v>459797242.50999999</v>
      </c>
      <c r="H7" s="7">
        <v>0.841628911509536</v>
      </c>
      <c r="I7" s="10">
        <v>0.91041149694913204</v>
      </c>
      <c r="J7" s="10">
        <v>0.194893617021277</v>
      </c>
    </row>
    <row r="8" spans="1:10" ht="30.75" customHeight="1" x14ac:dyDescent="0.25">
      <c r="A8" t="s">
        <v>53</v>
      </c>
      <c r="B8" s="6">
        <v>16</v>
      </c>
      <c r="C8" s="6">
        <v>118375287.63</v>
      </c>
      <c r="D8" s="6">
        <v>491121756.36000001</v>
      </c>
      <c r="E8" s="6">
        <v>65416530.32</v>
      </c>
      <c r="F8" s="6">
        <v>74100759.530000001</v>
      </c>
      <c r="G8" s="6">
        <v>139517289.84999999</v>
      </c>
      <c r="H8" s="7">
        <v>0.28407882168374499</v>
      </c>
      <c r="I8" s="10">
        <v>0.62598166402444699</v>
      </c>
      <c r="J8" s="10">
        <v>0.63017543859649106</v>
      </c>
    </row>
    <row r="9" spans="1:10" ht="31.5" customHeight="1" x14ac:dyDescent="0.25">
      <c r="A9" t="s">
        <v>52</v>
      </c>
      <c r="B9" s="6">
        <v>17</v>
      </c>
      <c r="C9" s="6">
        <v>6222598.2699999996</v>
      </c>
      <c r="D9" s="6">
        <v>383215718.48000002</v>
      </c>
      <c r="E9" s="6">
        <v>84175570.200000003</v>
      </c>
      <c r="F9" s="6">
        <v>6101698.2699999996</v>
      </c>
      <c r="G9" s="6">
        <v>90277268.469999999</v>
      </c>
      <c r="H9" s="7">
        <v>0.23557819817015599</v>
      </c>
      <c r="I9" s="10">
        <v>0.98057081708409899</v>
      </c>
      <c r="J9" s="10">
        <v>0.95254237288135601</v>
      </c>
    </row>
    <row r="10" spans="1:10" ht="28.5" customHeight="1" x14ac:dyDescent="0.25">
      <c r="A10" t="s">
        <v>51</v>
      </c>
      <c r="B10" s="6">
        <v>265</v>
      </c>
      <c r="C10" s="6">
        <v>72864646.819999993</v>
      </c>
      <c r="D10" s="6">
        <v>87275528.109999999</v>
      </c>
      <c r="E10" s="6">
        <v>13370667.529999999</v>
      </c>
      <c r="F10" s="6">
        <v>58912711.210000001</v>
      </c>
      <c r="G10" s="6">
        <v>72283378.739999995</v>
      </c>
      <c r="H10" s="7">
        <v>0.82822046804340999</v>
      </c>
      <c r="I10" s="10">
        <v>0.80852256589583205</v>
      </c>
      <c r="J10" s="10">
        <v>0.92882352941176505</v>
      </c>
    </row>
    <row r="11" spans="1:10" ht="32.25" customHeight="1" x14ac:dyDescent="0.25">
      <c r="A11" t="s">
        <v>50</v>
      </c>
      <c r="B11" s="6">
        <v>2</v>
      </c>
      <c r="C11" s="6">
        <v>502000</v>
      </c>
      <c r="D11" s="6">
        <v>32400000</v>
      </c>
      <c r="E11" s="6">
        <v>27000</v>
      </c>
      <c r="F11" s="6">
        <v>0</v>
      </c>
      <c r="G11" s="6">
        <v>27000</v>
      </c>
      <c r="H11" s="7">
        <v>8.3333333333333295E-4</v>
      </c>
      <c r="I11" s="10">
        <v>0</v>
      </c>
      <c r="J11" s="10">
        <v>0</v>
      </c>
    </row>
    <row r="12" spans="1:10" ht="31.5" customHeight="1" x14ac:dyDescent="0.25">
      <c r="A12" t="s">
        <v>49</v>
      </c>
      <c r="B12" s="6">
        <v>6</v>
      </c>
      <c r="C12" s="6">
        <v>7699490</v>
      </c>
      <c r="D12" s="6">
        <v>8652600</v>
      </c>
      <c r="E12" s="6">
        <v>0</v>
      </c>
      <c r="F12" s="6">
        <v>7399440</v>
      </c>
      <c r="G12" s="6">
        <v>7399440</v>
      </c>
      <c r="H12" s="7">
        <v>0.85516954441439597</v>
      </c>
      <c r="I12" s="10">
        <v>0.96102988639507303</v>
      </c>
      <c r="J12" s="10">
        <v>0.72499999999999998</v>
      </c>
    </row>
    <row r="13" spans="1:10" x14ac:dyDescent="0.25">
      <c r="B13" s="6">
        <f>SUBTOTAL(109,Table16[Proje Sayısı])</f>
        <v>696</v>
      </c>
      <c r="C13" s="6">
        <f>SUBTOTAL(109,Table16[Toplam Yıl Ödeneği])</f>
        <v>1663635160.6699998</v>
      </c>
      <c r="D13" s="6">
        <f>SUBTOTAL(109,Table16[Toplam Proje Tutarı])</f>
        <v>16542148030.6</v>
      </c>
      <c r="E13" s="6">
        <f>SUBTOTAL(109,Table16[Önceki Yıllar Toplam Harcaması])</f>
        <v>4066976416.4700003</v>
      </c>
      <c r="F13" s="6">
        <f>SUBTOTAL(109,Table16[Yılı Harcama Tutarı])</f>
        <v>1503766166.8800001</v>
      </c>
      <c r="G13" s="6">
        <f>SUBTOTAL(109,Table16[Toplam Harcama Tutarı])</f>
        <v>5570742583.3500013</v>
      </c>
      <c r="H13" s="12" t="s">
        <v>48</v>
      </c>
      <c r="I13" s="13" t="s">
        <v>31</v>
      </c>
    </row>
  </sheetData>
  <mergeCells count="1">
    <mergeCell ref="A1:J1"/>
  </mergeCells>
  <pageMargins left="0.7" right="0.7" top="0.75" bottom="0.75" header="0.3" footer="0.3"/>
  <pageSetup paperSize="9" scale="97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BE949-CC79-4F2A-8E76-01B30E71BE0B}">
  <dimension ref="A1:N20"/>
  <sheetViews>
    <sheetView topLeftCell="A16" workbookViewId="0">
      <selection activeCell="A7" sqref="A7"/>
    </sheetView>
  </sheetViews>
  <sheetFormatPr defaultRowHeight="15" x14ac:dyDescent="0.25"/>
  <cols>
    <col min="1" max="1" width="39.140625" customWidth="1"/>
    <col min="2" max="2" width="12.5703125" customWidth="1"/>
    <col min="3" max="3" width="12.28515625" customWidth="1"/>
    <col min="4" max="4" width="12.140625" customWidth="1"/>
    <col min="5" max="5" width="12.5703125" customWidth="1"/>
    <col min="6" max="6" width="11.5703125" customWidth="1"/>
  </cols>
  <sheetData>
    <row r="1" spans="1:14" x14ac:dyDescent="0.25">
      <c r="A1" s="14" t="s">
        <v>86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75" x14ac:dyDescent="0.25">
      <c r="A2" t="s">
        <v>85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</row>
    <row r="3" spans="1:14" ht="45" x14ac:dyDescent="0.25">
      <c r="A3" s="11" t="s">
        <v>84</v>
      </c>
      <c r="B3" s="6">
        <v>1396094.62</v>
      </c>
      <c r="C3" s="6">
        <v>46000000</v>
      </c>
      <c r="D3" s="6">
        <v>44603905.380000003</v>
      </c>
      <c r="E3" s="6">
        <v>0</v>
      </c>
      <c r="F3" s="6">
        <v>44603905.380000003</v>
      </c>
      <c r="G3" s="7">
        <v>0.96965011695652203</v>
      </c>
      <c r="H3" s="10">
        <v>0</v>
      </c>
      <c r="I3" s="10">
        <v>0</v>
      </c>
      <c r="J3" s="10">
        <v>0.99</v>
      </c>
    </row>
    <row r="4" spans="1:14" ht="45" x14ac:dyDescent="0.25">
      <c r="A4" s="11" t="s">
        <v>83</v>
      </c>
      <c r="B4" s="6">
        <v>649000</v>
      </c>
      <c r="C4" s="6">
        <v>649000</v>
      </c>
      <c r="D4" s="6">
        <v>0</v>
      </c>
      <c r="E4" s="6">
        <v>649000</v>
      </c>
      <c r="F4" s="6">
        <v>649000</v>
      </c>
      <c r="G4" s="7">
        <v>1</v>
      </c>
      <c r="H4" s="10">
        <v>1</v>
      </c>
      <c r="I4" s="10">
        <v>1</v>
      </c>
      <c r="J4" s="10">
        <v>1</v>
      </c>
    </row>
    <row r="5" spans="1:14" ht="60" x14ac:dyDescent="0.25">
      <c r="A5" s="11" t="s">
        <v>82</v>
      </c>
      <c r="B5" s="6">
        <v>1156400</v>
      </c>
      <c r="C5" s="6">
        <v>1156400</v>
      </c>
      <c r="D5" s="6">
        <v>0</v>
      </c>
      <c r="E5" s="6">
        <v>1156400</v>
      </c>
      <c r="F5" s="6">
        <v>1156400</v>
      </c>
      <c r="G5" s="7">
        <v>1</v>
      </c>
      <c r="H5" s="10">
        <v>1</v>
      </c>
      <c r="I5" s="10">
        <v>1</v>
      </c>
      <c r="J5" s="10">
        <v>1</v>
      </c>
    </row>
    <row r="6" spans="1:14" ht="30" x14ac:dyDescent="0.25">
      <c r="A6" s="11" t="s">
        <v>81</v>
      </c>
      <c r="B6" s="6">
        <v>23541000</v>
      </c>
      <c r="C6" s="6">
        <v>23541000</v>
      </c>
      <c r="D6" s="6">
        <v>0</v>
      </c>
      <c r="E6" s="6">
        <v>15005777.25</v>
      </c>
      <c r="F6" s="6">
        <v>15005777.25</v>
      </c>
      <c r="G6" s="7">
        <v>0.63743159806295402</v>
      </c>
      <c r="H6" s="10">
        <v>0.24105128754088601</v>
      </c>
      <c r="I6" s="10">
        <v>0.63743159806295402</v>
      </c>
      <c r="J6" s="10">
        <v>0.7</v>
      </c>
    </row>
    <row r="7" spans="1:14" x14ac:dyDescent="0.25">
      <c r="A7" s="11" t="s">
        <v>80</v>
      </c>
      <c r="B7" s="6">
        <v>742518.77</v>
      </c>
      <c r="C7" s="6">
        <v>6338003.1100000003</v>
      </c>
      <c r="D7" s="6">
        <v>5595484.3399999999</v>
      </c>
      <c r="E7" s="6">
        <v>742518.77</v>
      </c>
      <c r="F7" s="6">
        <v>6338003.1100000003</v>
      </c>
      <c r="G7" s="7">
        <v>1</v>
      </c>
      <c r="H7" s="10">
        <v>0</v>
      </c>
      <c r="I7" s="10">
        <v>1</v>
      </c>
      <c r="J7" s="10">
        <v>1</v>
      </c>
    </row>
    <row r="8" spans="1:14" ht="45" x14ac:dyDescent="0.25">
      <c r="A8" s="11" t="s">
        <v>79</v>
      </c>
      <c r="B8" s="6">
        <v>402158.54</v>
      </c>
      <c r="C8" s="6">
        <v>2769460</v>
      </c>
      <c r="D8" s="6">
        <v>2367301.46</v>
      </c>
      <c r="E8" s="6">
        <v>402158.54</v>
      </c>
      <c r="F8" s="6">
        <v>2769460</v>
      </c>
      <c r="G8" s="7">
        <v>1</v>
      </c>
      <c r="H8" s="10">
        <v>0</v>
      </c>
      <c r="I8" s="10">
        <v>1</v>
      </c>
      <c r="J8" s="10">
        <v>1</v>
      </c>
    </row>
    <row r="9" spans="1:14" ht="60" x14ac:dyDescent="0.25">
      <c r="A9" s="11" t="s">
        <v>78</v>
      </c>
      <c r="B9" s="6">
        <v>311329.34999999998</v>
      </c>
      <c r="C9" s="6">
        <v>4348300</v>
      </c>
      <c r="D9" s="6">
        <v>4036970.65</v>
      </c>
      <c r="E9" s="6">
        <v>311329.34999999998</v>
      </c>
      <c r="F9" s="6">
        <v>4348300</v>
      </c>
      <c r="G9" s="7">
        <v>1</v>
      </c>
      <c r="H9" s="10">
        <v>0</v>
      </c>
      <c r="I9" s="10">
        <v>1</v>
      </c>
      <c r="J9" s="10">
        <v>1</v>
      </c>
    </row>
    <row r="10" spans="1:14" ht="60" x14ac:dyDescent="0.25">
      <c r="A10" s="11" t="s">
        <v>77</v>
      </c>
      <c r="B10" s="6">
        <v>721240.4</v>
      </c>
      <c r="C10" s="6">
        <v>5325340</v>
      </c>
      <c r="D10" s="6">
        <v>4604099.5999999996</v>
      </c>
      <c r="E10" s="6">
        <v>721240.4</v>
      </c>
      <c r="F10" s="6">
        <v>5325340</v>
      </c>
      <c r="G10" s="7">
        <v>1</v>
      </c>
      <c r="H10" s="10">
        <v>0</v>
      </c>
      <c r="I10" s="10">
        <v>1</v>
      </c>
      <c r="J10" s="10">
        <v>1</v>
      </c>
    </row>
    <row r="11" spans="1:14" ht="60" x14ac:dyDescent="0.25">
      <c r="A11" s="11" t="s">
        <v>76</v>
      </c>
      <c r="B11" s="6">
        <v>728172.3</v>
      </c>
      <c r="C11" s="6">
        <v>7170860</v>
      </c>
      <c r="D11" s="6">
        <v>6442687.7000000002</v>
      </c>
      <c r="E11" s="6">
        <v>728172.3</v>
      </c>
      <c r="F11" s="6">
        <v>7170860</v>
      </c>
      <c r="G11" s="7">
        <v>1</v>
      </c>
      <c r="H11" s="10">
        <v>0</v>
      </c>
      <c r="I11" s="10">
        <v>1</v>
      </c>
      <c r="J11" s="10">
        <v>1</v>
      </c>
    </row>
    <row r="12" spans="1:14" ht="60" x14ac:dyDescent="0.25">
      <c r="A12" s="11" t="s">
        <v>75</v>
      </c>
      <c r="B12" s="6">
        <v>364063.78</v>
      </c>
      <c r="C12" s="6">
        <v>2633996</v>
      </c>
      <c r="D12" s="6">
        <v>2269932.2200000002</v>
      </c>
      <c r="E12" s="6">
        <v>364063.78</v>
      </c>
      <c r="F12" s="6">
        <v>2633996</v>
      </c>
      <c r="G12" s="7">
        <v>1</v>
      </c>
      <c r="H12" s="10">
        <v>1</v>
      </c>
      <c r="I12" s="10">
        <v>1</v>
      </c>
      <c r="J12" s="10">
        <v>1</v>
      </c>
    </row>
    <row r="13" spans="1:14" ht="60" x14ac:dyDescent="0.25">
      <c r="A13" s="11" t="s">
        <v>74</v>
      </c>
      <c r="B13" s="6">
        <v>360877.3</v>
      </c>
      <c r="C13" s="6">
        <v>7015100</v>
      </c>
      <c r="D13" s="6">
        <v>6654222.7000000002</v>
      </c>
      <c r="E13" s="6">
        <v>360877.3</v>
      </c>
      <c r="F13" s="6">
        <v>7015100</v>
      </c>
      <c r="G13" s="7">
        <v>1</v>
      </c>
      <c r="H13" s="10">
        <v>0</v>
      </c>
      <c r="I13" s="10">
        <v>1</v>
      </c>
      <c r="J13" s="10">
        <v>1</v>
      </c>
    </row>
    <row r="14" spans="1:14" ht="60" x14ac:dyDescent="0.25">
      <c r="A14" s="11" t="s">
        <v>73</v>
      </c>
      <c r="B14" s="6">
        <v>219575.04000000001</v>
      </c>
      <c r="C14" s="6">
        <v>7275782.3700000001</v>
      </c>
      <c r="D14" s="6">
        <v>7056207.3300000001</v>
      </c>
      <c r="E14" s="6">
        <v>219575.04000000001</v>
      </c>
      <c r="F14" s="6">
        <v>7275782.3700000001</v>
      </c>
      <c r="G14" s="7">
        <v>1</v>
      </c>
      <c r="H14" s="10">
        <v>0</v>
      </c>
      <c r="I14" s="10">
        <v>1</v>
      </c>
      <c r="J14" s="10">
        <v>1</v>
      </c>
    </row>
    <row r="15" spans="1:14" ht="60" x14ac:dyDescent="0.25">
      <c r="A15" s="11" t="s">
        <v>72</v>
      </c>
      <c r="B15" s="6">
        <v>48069.38</v>
      </c>
      <c r="C15" s="6">
        <v>8354400</v>
      </c>
      <c r="D15" s="6">
        <v>8306330.6200000001</v>
      </c>
      <c r="E15" s="6">
        <v>48069.38</v>
      </c>
      <c r="F15" s="6">
        <v>8354400</v>
      </c>
      <c r="G15" s="7">
        <v>1</v>
      </c>
      <c r="H15" s="10">
        <v>0</v>
      </c>
      <c r="I15" s="10">
        <v>1</v>
      </c>
      <c r="J15" s="10">
        <v>1</v>
      </c>
    </row>
    <row r="16" spans="1:14" ht="60" x14ac:dyDescent="0.25">
      <c r="A16" s="11" t="s">
        <v>71</v>
      </c>
      <c r="B16" s="6">
        <v>455988.5</v>
      </c>
      <c r="C16" s="6">
        <v>9708090.0999999996</v>
      </c>
      <c r="D16" s="6">
        <v>9252101.5999999996</v>
      </c>
      <c r="E16" s="6">
        <v>455988.5</v>
      </c>
      <c r="F16" s="6">
        <v>9708090.0999999996</v>
      </c>
      <c r="G16" s="7">
        <v>1</v>
      </c>
      <c r="H16" s="10">
        <v>0</v>
      </c>
      <c r="I16" s="10">
        <v>1</v>
      </c>
      <c r="J16" s="10">
        <v>1</v>
      </c>
    </row>
    <row r="17" spans="1:10" ht="60" x14ac:dyDescent="0.25">
      <c r="A17" s="11" t="s">
        <v>70</v>
      </c>
      <c r="B17" s="6">
        <v>91316.28</v>
      </c>
      <c r="C17" s="6">
        <v>11179320</v>
      </c>
      <c r="D17" s="6">
        <v>11088003.720000001</v>
      </c>
      <c r="E17" s="6">
        <v>91316.28</v>
      </c>
      <c r="F17" s="6">
        <v>11179320</v>
      </c>
      <c r="G17" s="7">
        <v>1</v>
      </c>
      <c r="H17" s="10">
        <v>0</v>
      </c>
      <c r="I17" s="10">
        <v>1</v>
      </c>
      <c r="J17" s="10">
        <v>1</v>
      </c>
    </row>
    <row r="18" spans="1:10" ht="60" x14ac:dyDescent="0.25">
      <c r="A18" s="11" t="s">
        <v>69</v>
      </c>
      <c r="B18" s="6">
        <v>1265563.6100000001</v>
      </c>
      <c r="C18" s="6">
        <v>15167720</v>
      </c>
      <c r="D18" s="6">
        <v>13902156.390000001</v>
      </c>
      <c r="E18" s="6">
        <v>1265563.6100000001</v>
      </c>
      <c r="F18" s="6">
        <v>15167720</v>
      </c>
      <c r="G18" s="7">
        <v>1</v>
      </c>
      <c r="H18" s="10">
        <v>0</v>
      </c>
      <c r="I18" s="10">
        <v>1</v>
      </c>
      <c r="J18" s="10">
        <v>1</v>
      </c>
    </row>
    <row r="19" spans="1:10" ht="60" x14ac:dyDescent="0.25">
      <c r="A19" s="11" t="s">
        <v>68</v>
      </c>
      <c r="B19" s="6">
        <v>693343.79</v>
      </c>
      <c r="C19" s="6">
        <v>5407350</v>
      </c>
      <c r="D19" s="6">
        <v>4714006.21</v>
      </c>
      <c r="E19" s="6">
        <v>693343.79</v>
      </c>
      <c r="F19" s="6">
        <v>5407350</v>
      </c>
      <c r="G19" s="7">
        <v>1</v>
      </c>
      <c r="H19" s="10">
        <v>0</v>
      </c>
      <c r="I19" s="10">
        <v>1</v>
      </c>
      <c r="J19" s="10">
        <v>1</v>
      </c>
    </row>
    <row r="20" spans="1:10" x14ac:dyDescent="0.25">
      <c r="B20" s="6">
        <f>SUBTOTAL(109,Table18[Toplam Yıl Ödeneği])</f>
        <v>33146711.66</v>
      </c>
      <c r="C20" s="6">
        <f>SUBTOTAL(109,Table18[Toplam Proje Tutarı])</f>
        <v>164040121.57999998</v>
      </c>
      <c r="D20" s="6">
        <f>SUBTOTAL(109,Table18[Önceki Yıllar Toplam Harcaması])</f>
        <v>130893409.91999999</v>
      </c>
      <c r="E20" s="6">
        <f>SUBTOTAL(109,Table18[Yılı Harcama Tutarı])</f>
        <v>23215394.289999999</v>
      </c>
      <c r="F20" s="6">
        <f>SUBTOTAL(109,Table18[Toplam Harcama Tutarı])</f>
        <v>154108804.21000001</v>
      </c>
      <c r="G20" s="7" t="s">
        <v>67</v>
      </c>
      <c r="H20" s="10" t="s">
        <v>66</v>
      </c>
      <c r="I20" s="10" t="s">
        <v>65</v>
      </c>
    </row>
  </sheetData>
  <mergeCells count="1">
    <mergeCell ref="A1:N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2088C-1804-4137-B300-27D7C6D99C2C}">
  <dimension ref="A1:L13"/>
  <sheetViews>
    <sheetView workbookViewId="0">
      <selection activeCell="A17" sqref="A17"/>
    </sheetView>
  </sheetViews>
  <sheetFormatPr defaultRowHeight="15" x14ac:dyDescent="0.25"/>
  <cols>
    <col min="1" max="1" width="40" customWidth="1"/>
    <col min="2" max="2" width="11.42578125" customWidth="1"/>
    <col min="3" max="3" width="10.7109375" customWidth="1"/>
    <col min="4" max="4" width="11" customWidth="1"/>
    <col min="5" max="5" width="10.42578125" customWidth="1"/>
    <col min="6" max="6" width="10.28515625" customWidth="1"/>
  </cols>
  <sheetData>
    <row r="1" spans="1:12" x14ac:dyDescent="0.25">
      <c r="A1" s="14" t="s">
        <v>97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75" x14ac:dyDescent="0.25">
      <c r="A3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2" x14ac:dyDescent="0.25">
      <c r="A4" s="11" t="s">
        <v>95</v>
      </c>
      <c r="B4" s="6">
        <v>200000</v>
      </c>
      <c r="C4" s="6">
        <v>200000</v>
      </c>
      <c r="D4" s="6">
        <v>0</v>
      </c>
      <c r="E4" s="6">
        <v>0</v>
      </c>
      <c r="F4" s="6">
        <v>0</v>
      </c>
      <c r="G4" s="7">
        <v>0</v>
      </c>
      <c r="H4" s="10">
        <v>0</v>
      </c>
      <c r="I4" s="10">
        <v>0</v>
      </c>
      <c r="J4" s="10">
        <v>0</v>
      </c>
      <c r="K4" t="s">
        <v>39</v>
      </c>
    </row>
    <row r="5" spans="1:12" x14ac:dyDescent="0.25">
      <c r="A5" s="11" t="s">
        <v>94</v>
      </c>
      <c r="B5" s="6">
        <v>100000</v>
      </c>
      <c r="C5" s="6">
        <v>100000</v>
      </c>
      <c r="D5" s="6">
        <v>0</v>
      </c>
      <c r="E5" s="6">
        <v>0</v>
      </c>
      <c r="F5" s="6">
        <v>0</v>
      </c>
      <c r="G5" s="7">
        <v>0</v>
      </c>
      <c r="H5" s="10">
        <v>0</v>
      </c>
      <c r="I5" s="10">
        <v>0</v>
      </c>
      <c r="J5" s="10">
        <v>0</v>
      </c>
      <c r="K5" t="s">
        <v>39</v>
      </c>
    </row>
    <row r="6" spans="1:12" ht="30" x14ac:dyDescent="0.25">
      <c r="A6" s="11" t="s">
        <v>93</v>
      </c>
      <c r="B6" s="6">
        <v>0</v>
      </c>
      <c r="C6" s="6">
        <v>0.01</v>
      </c>
      <c r="D6" s="6">
        <v>0</v>
      </c>
      <c r="E6" s="6">
        <v>0</v>
      </c>
      <c r="F6" s="6">
        <v>0</v>
      </c>
      <c r="G6" s="7">
        <v>0</v>
      </c>
      <c r="H6" s="10">
        <v>0</v>
      </c>
      <c r="I6" s="10">
        <v>0</v>
      </c>
      <c r="J6" s="10">
        <v>1</v>
      </c>
      <c r="K6" t="s">
        <v>39</v>
      </c>
    </row>
    <row r="7" spans="1:12" ht="45" x14ac:dyDescent="0.25">
      <c r="A7" s="11" t="s">
        <v>92</v>
      </c>
      <c r="B7" s="6">
        <v>20000000</v>
      </c>
      <c r="C7" s="6">
        <v>49400000</v>
      </c>
      <c r="D7" s="6">
        <v>18069840.280000001</v>
      </c>
      <c r="E7" s="6">
        <v>4280099.38</v>
      </c>
      <c r="F7" s="6">
        <v>22349939.66</v>
      </c>
      <c r="G7" s="7">
        <v>0.452427928340081</v>
      </c>
      <c r="H7" s="10">
        <v>0.18731682099999999</v>
      </c>
      <c r="I7" s="10">
        <v>0.21400496899999999</v>
      </c>
      <c r="J7" s="10">
        <v>0.28000000000000003</v>
      </c>
      <c r="K7" t="s">
        <v>39</v>
      </c>
    </row>
    <row r="8" spans="1:12" ht="30" x14ac:dyDescent="0.25">
      <c r="A8" s="11" t="s">
        <v>91</v>
      </c>
      <c r="B8" s="6">
        <v>2000</v>
      </c>
      <c r="C8" s="6">
        <v>21240000</v>
      </c>
      <c r="D8" s="6">
        <v>0</v>
      </c>
      <c r="E8" s="6">
        <v>0</v>
      </c>
      <c r="F8" s="6">
        <v>0</v>
      </c>
      <c r="G8" s="7">
        <v>0</v>
      </c>
      <c r="H8" s="10">
        <v>0</v>
      </c>
      <c r="I8" s="10">
        <v>0</v>
      </c>
      <c r="J8" s="10">
        <v>0.1</v>
      </c>
      <c r="K8" t="s">
        <v>39</v>
      </c>
    </row>
    <row r="9" spans="1:12" ht="45" x14ac:dyDescent="0.25">
      <c r="A9" s="11" t="s">
        <v>90</v>
      </c>
      <c r="B9" s="6">
        <v>4500000</v>
      </c>
      <c r="C9" s="6">
        <v>12000000</v>
      </c>
      <c r="D9" s="6">
        <v>4245021.41</v>
      </c>
      <c r="E9" s="6">
        <v>1073426.51</v>
      </c>
      <c r="F9" s="6">
        <v>5318447.92</v>
      </c>
      <c r="G9" s="7">
        <v>0.44320399333333299</v>
      </c>
      <c r="H9" s="10">
        <v>0</v>
      </c>
      <c r="I9" s="10">
        <v>0.238539224444444</v>
      </c>
      <c r="J9" s="10">
        <v>0.64</v>
      </c>
      <c r="K9" t="s">
        <v>39</v>
      </c>
    </row>
    <row r="10" spans="1:12" x14ac:dyDescent="0.25">
      <c r="A10" s="11" t="s">
        <v>89</v>
      </c>
      <c r="B10" s="6">
        <v>8575007.8599999994</v>
      </c>
      <c r="C10" s="6">
        <v>8575007.8599999994</v>
      </c>
      <c r="D10" s="6">
        <v>0</v>
      </c>
      <c r="E10" s="6">
        <v>8575007.8599999994</v>
      </c>
      <c r="F10" s="6">
        <v>8575007.8599999994</v>
      </c>
      <c r="G10" s="7">
        <v>1</v>
      </c>
      <c r="H10" s="10">
        <v>0.66576778741285003</v>
      </c>
      <c r="I10" s="10">
        <v>1</v>
      </c>
      <c r="J10" s="10">
        <v>1</v>
      </c>
      <c r="K10" t="s">
        <v>39</v>
      </c>
    </row>
    <row r="11" spans="1:12" ht="30" x14ac:dyDescent="0.25">
      <c r="A11" s="11" t="s">
        <v>88</v>
      </c>
      <c r="B11" s="6">
        <v>2000</v>
      </c>
      <c r="C11" s="6">
        <v>5000000</v>
      </c>
      <c r="D11" s="6">
        <v>0</v>
      </c>
      <c r="E11" s="6">
        <v>0</v>
      </c>
      <c r="F11" s="6">
        <v>0</v>
      </c>
      <c r="G11" s="7">
        <v>0</v>
      </c>
      <c r="H11" s="10">
        <v>0</v>
      </c>
      <c r="I11" s="10">
        <v>0</v>
      </c>
      <c r="J11" s="10">
        <v>1</v>
      </c>
      <c r="K11" t="s">
        <v>39</v>
      </c>
    </row>
    <row r="12" spans="1:12" x14ac:dyDescent="0.25">
      <c r="A12" s="11" t="s">
        <v>87</v>
      </c>
      <c r="B12" s="6">
        <v>752000</v>
      </c>
      <c r="C12" s="6">
        <v>752000</v>
      </c>
      <c r="D12" s="6">
        <v>0</v>
      </c>
      <c r="E12" s="6">
        <v>749891.5</v>
      </c>
      <c r="F12" s="6">
        <v>749891.5</v>
      </c>
      <c r="G12" s="7">
        <v>0.99719614361702102</v>
      </c>
      <c r="H12" s="10">
        <v>0.470851542553191</v>
      </c>
      <c r="I12" s="10">
        <v>0.99719614361702102</v>
      </c>
      <c r="J12" s="10">
        <v>1</v>
      </c>
      <c r="K12" t="s">
        <v>39</v>
      </c>
    </row>
    <row r="13" spans="1:12" x14ac:dyDescent="0.25">
      <c r="B13" s="6">
        <f>SUBTOTAL(109,Table19[Toplam Yıl Ödeneği])</f>
        <v>34131007.859999999</v>
      </c>
      <c r="C13" s="6">
        <f>SUBTOTAL(109,Table19[Toplam Proje Tutarı])</f>
        <v>97267007.86999999</v>
      </c>
      <c r="D13" s="6">
        <f>SUBTOTAL(109,Table19[Önceki Yıllar Toplam Harcaması])</f>
        <v>22314861.690000001</v>
      </c>
      <c r="E13" s="6">
        <f>SUBTOTAL(109,Table19[Yılı Harcama Tutarı])</f>
        <v>14678425.25</v>
      </c>
      <c r="F13" s="6">
        <f>SUBTOTAL(109,Table19[Toplam Harcama Tutarı])</f>
        <v>36993286.939999998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747EF-EE18-48F5-A74B-7A2B4409D27A}">
  <dimension ref="A1:K185"/>
  <sheetViews>
    <sheetView topLeftCell="A175" workbookViewId="0">
      <selection activeCell="C192" sqref="C192"/>
    </sheetView>
  </sheetViews>
  <sheetFormatPr defaultRowHeight="15" x14ac:dyDescent="0.25"/>
  <cols>
    <col min="1" max="1" width="40.5703125" customWidth="1"/>
    <col min="2" max="2" width="11.42578125" customWidth="1"/>
    <col min="3" max="3" width="11" customWidth="1"/>
    <col min="5" max="5" width="11.5703125" customWidth="1"/>
    <col min="6" max="6" width="11" customWidth="1"/>
  </cols>
  <sheetData>
    <row r="1" spans="1:11" x14ac:dyDescent="0.25">
      <c r="A1" s="14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3" spans="1:11" ht="75" x14ac:dyDescent="0.25">
      <c r="A3" s="11" t="s">
        <v>85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96</v>
      </c>
    </row>
    <row r="4" spans="1:11" ht="48.75" customHeight="1" x14ac:dyDescent="0.25">
      <c r="A4" s="11" t="s">
        <v>278</v>
      </c>
      <c r="B4" s="6">
        <v>1438238</v>
      </c>
      <c r="C4" s="6">
        <v>1438238</v>
      </c>
      <c r="D4" s="6">
        <v>0</v>
      </c>
      <c r="E4" s="6">
        <v>545868</v>
      </c>
      <c r="F4" s="6">
        <v>545868</v>
      </c>
      <c r="G4" s="7">
        <v>0.37953940863751301</v>
      </c>
      <c r="H4" s="10">
        <v>0.37953940863751301</v>
      </c>
      <c r="I4" s="10">
        <v>0.37953940863751301</v>
      </c>
      <c r="J4" s="10">
        <v>1</v>
      </c>
      <c r="K4" t="s">
        <v>39</v>
      </c>
    </row>
    <row r="5" spans="1:11" ht="30" x14ac:dyDescent="0.25">
      <c r="A5" s="11" t="s">
        <v>277</v>
      </c>
      <c r="B5" s="6">
        <v>43872.4</v>
      </c>
      <c r="C5" s="6">
        <v>43872.4</v>
      </c>
      <c r="D5" s="6">
        <v>0</v>
      </c>
      <c r="E5" s="6">
        <v>43872.4</v>
      </c>
      <c r="F5" s="6">
        <v>43872.4</v>
      </c>
      <c r="G5" s="7">
        <v>1</v>
      </c>
      <c r="H5" s="10">
        <v>1</v>
      </c>
      <c r="I5" s="10">
        <v>1</v>
      </c>
      <c r="J5" s="10">
        <v>1</v>
      </c>
      <c r="K5" t="s">
        <v>38</v>
      </c>
    </row>
    <row r="6" spans="1:11" ht="30" x14ac:dyDescent="0.25">
      <c r="A6" s="11" t="s">
        <v>276</v>
      </c>
      <c r="B6" s="6">
        <v>465129.34</v>
      </c>
      <c r="C6" s="6">
        <v>465129.34</v>
      </c>
      <c r="D6" s="6">
        <v>0</v>
      </c>
      <c r="E6" s="6">
        <v>465129.34</v>
      </c>
      <c r="F6" s="6">
        <v>465129.34</v>
      </c>
      <c r="G6" s="7">
        <v>1</v>
      </c>
      <c r="H6" s="10">
        <v>3.2527167604606499E-2</v>
      </c>
      <c r="I6" s="10">
        <v>1</v>
      </c>
      <c r="J6" s="10">
        <v>1</v>
      </c>
      <c r="K6" t="s">
        <v>38</v>
      </c>
    </row>
    <row r="7" spans="1:11" ht="45" x14ac:dyDescent="0.25">
      <c r="A7" s="11" t="s">
        <v>275</v>
      </c>
      <c r="B7" s="6">
        <v>607700</v>
      </c>
      <c r="C7" s="6">
        <v>607700</v>
      </c>
      <c r="D7" s="6">
        <v>0</v>
      </c>
      <c r="E7" s="6">
        <v>607700</v>
      </c>
      <c r="F7" s="6">
        <v>607700</v>
      </c>
      <c r="G7" s="7">
        <v>1</v>
      </c>
      <c r="H7" s="10">
        <v>1</v>
      </c>
      <c r="I7" s="10">
        <v>1</v>
      </c>
      <c r="J7" s="10">
        <v>1</v>
      </c>
      <c r="K7" t="s">
        <v>43</v>
      </c>
    </row>
    <row r="8" spans="1:11" ht="45" x14ac:dyDescent="0.25">
      <c r="A8" s="11" t="s">
        <v>274</v>
      </c>
      <c r="B8" s="6">
        <v>325000</v>
      </c>
      <c r="C8" s="6">
        <v>325000</v>
      </c>
      <c r="D8" s="6">
        <v>0</v>
      </c>
      <c r="E8" s="6">
        <v>150000</v>
      </c>
      <c r="F8" s="6">
        <v>150000</v>
      </c>
      <c r="G8" s="7">
        <v>0.46153846153846201</v>
      </c>
      <c r="H8" s="10">
        <v>0.46153846153846201</v>
      </c>
      <c r="I8" s="10">
        <v>0.46153846153846201</v>
      </c>
      <c r="J8" s="10">
        <v>0.7</v>
      </c>
      <c r="K8" t="s">
        <v>42</v>
      </c>
    </row>
    <row r="9" spans="1:11" ht="30" x14ac:dyDescent="0.25">
      <c r="A9" s="11" t="s">
        <v>273</v>
      </c>
      <c r="B9" s="6">
        <v>17110</v>
      </c>
      <c r="C9" s="6">
        <v>17110</v>
      </c>
      <c r="D9" s="6">
        <v>0</v>
      </c>
      <c r="E9" s="6">
        <v>17110</v>
      </c>
      <c r="F9" s="6">
        <v>17110</v>
      </c>
      <c r="G9" s="7">
        <v>1</v>
      </c>
      <c r="H9" s="10">
        <v>0</v>
      </c>
      <c r="I9" s="10">
        <v>1</v>
      </c>
      <c r="J9" s="10">
        <v>1</v>
      </c>
      <c r="K9" t="s">
        <v>39</v>
      </c>
    </row>
    <row r="10" spans="1:11" ht="45" x14ac:dyDescent="0.25">
      <c r="A10" s="11" t="s">
        <v>272</v>
      </c>
      <c r="B10" s="6">
        <v>253051</v>
      </c>
      <c r="C10" s="6">
        <v>253051</v>
      </c>
      <c r="D10" s="6">
        <v>0</v>
      </c>
      <c r="E10" s="6">
        <v>253051</v>
      </c>
      <c r="F10" s="6">
        <v>253051</v>
      </c>
      <c r="G10" s="7">
        <v>1</v>
      </c>
      <c r="H10" s="10">
        <v>0</v>
      </c>
      <c r="I10" s="10">
        <v>1</v>
      </c>
      <c r="J10" s="10">
        <v>1</v>
      </c>
      <c r="K10" t="s">
        <v>39</v>
      </c>
    </row>
    <row r="11" spans="1:11" ht="30" x14ac:dyDescent="0.25">
      <c r="A11" s="11" t="s">
        <v>271</v>
      </c>
      <c r="B11" s="6">
        <v>441320</v>
      </c>
      <c r="C11" s="6">
        <v>441320</v>
      </c>
      <c r="D11" s="6">
        <v>0</v>
      </c>
      <c r="E11" s="6">
        <v>441320</v>
      </c>
      <c r="F11" s="6">
        <v>441320</v>
      </c>
      <c r="G11" s="7">
        <v>1</v>
      </c>
      <c r="H11" s="10">
        <v>1</v>
      </c>
      <c r="I11" s="10">
        <v>1</v>
      </c>
      <c r="J11" s="10">
        <v>1</v>
      </c>
      <c r="K11" t="s">
        <v>40</v>
      </c>
    </row>
    <row r="12" spans="1:11" ht="60" x14ac:dyDescent="0.25">
      <c r="A12" s="11" t="s">
        <v>270</v>
      </c>
      <c r="B12" s="6">
        <v>950000</v>
      </c>
      <c r="C12" s="6">
        <v>950000</v>
      </c>
      <c r="D12" s="6">
        <v>0</v>
      </c>
      <c r="E12" s="6">
        <v>731457</v>
      </c>
      <c r="F12" s="6">
        <v>731457</v>
      </c>
      <c r="G12" s="7">
        <v>0.76995473684210503</v>
      </c>
      <c r="H12" s="10">
        <v>0.76995473684210503</v>
      </c>
      <c r="I12" s="10">
        <v>0.76995473684210503</v>
      </c>
      <c r="J12" s="10">
        <v>1</v>
      </c>
      <c r="K12" t="s">
        <v>44</v>
      </c>
    </row>
    <row r="13" spans="1:11" ht="45" x14ac:dyDescent="0.25">
      <c r="A13" s="11" t="s">
        <v>269</v>
      </c>
      <c r="B13" s="6">
        <v>430000</v>
      </c>
      <c r="C13" s="6">
        <v>436600</v>
      </c>
      <c r="D13" s="6">
        <v>0</v>
      </c>
      <c r="E13" s="6">
        <v>430000</v>
      </c>
      <c r="F13" s="6">
        <v>430000</v>
      </c>
      <c r="G13" s="7">
        <v>0.98488318827301902</v>
      </c>
      <c r="H13" s="10">
        <v>1</v>
      </c>
      <c r="I13" s="10">
        <v>1</v>
      </c>
      <c r="J13" s="10">
        <v>1</v>
      </c>
      <c r="K13" t="s">
        <v>44</v>
      </c>
    </row>
    <row r="14" spans="1:11" ht="45" x14ac:dyDescent="0.25">
      <c r="A14" s="11" t="s">
        <v>268</v>
      </c>
      <c r="B14" s="6">
        <v>531531</v>
      </c>
      <c r="C14" s="6">
        <v>531531</v>
      </c>
      <c r="D14" s="6">
        <v>0</v>
      </c>
      <c r="E14" s="6">
        <v>531000</v>
      </c>
      <c r="F14" s="6">
        <v>531000</v>
      </c>
      <c r="G14" s="7">
        <v>0.99900099900099903</v>
      </c>
      <c r="H14" s="10">
        <v>0.99900099900099903</v>
      </c>
      <c r="I14" s="10">
        <v>0.99900099900099903</v>
      </c>
      <c r="J14" s="10">
        <v>1</v>
      </c>
      <c r="K14" t="s">
        <v>44</v>
      </c>
    </row>
    <row r="15" spans="1:11" ht="45" x14ac:dyDescent="0.25">
      <c r="A15" s="11" t="s">
        <v>267</v>
      </c>
      <c r="B15" s="6">
        <v>569196.6</v>
      </c>
      <c r="C15" s="6">
        <v>569196.6</v>
      </c>
      <c r="D15" s="6">
        <v>0</v>
      </c>
      <c r="E15" s="6">
        <v>569196.6</v>
      </c>
      <c r="F15" s="6">
        <v>569196.6</v>
      </c>
      <c r="G15" s="7">
        <v>1</v>
      </c>
      <c r="H15" s="10">
        <v>0.824313778402752</v>
      </c>
      <c r="I15" s="10">
        <v>1</v>
      </c>
      <c r="J15" s="10">
        <v>1</v>
      </c>
      <c r="K15" t="s">
        <v>45</v>
      </c>
    </row>
    <row r="16" spans="1:11" ht="45" x14ac:dyDescent="0.25">
      <c r="A16" s="11" t="s">
        <v>266</v>
      </c>
      <c r="B16" s="6">
        <v>278126</v>
      </c>
      <c r="C16" s="6">
        <v>278126</v>
      </c>
      <c r="D16" s="6">
        <v>0</v>
      </c>
      <c r="E16" s="6">
        <v>276000</v>
      </c>
      <c r="F16" s="6">
        <v>276000</v>
      </c>
      <c r="G16" s="7">
        <v>0.99235598254028701</v>
      </c>
      <c r="H16" s="10">
        <v>0.99235598254028701</v>
      </c>
      <c r="I16" s="10">
        <v>0.99235598254028701</v>
      </c>
      <c r="J16" s="10">
        <v>1</v>
      </c>
      <c r="K16" t="s">
        <v>42</v>
      </c>
    </row>
    <row r="17" spans="1:11" ht="45" x14ac:dyDescent="0.25">
      <c r="A17" s="11" t="s">
        <v>265</v>
      </c>
      <c r="B17" s="6">
        <v>314384</v>
      </c>
      <c r="C17" s="6">
        <v>318384</v>
      </c>
      <c r="D17" s="6">
        <v>0</v>
      </c>
      <c r="E17" s="6">
        <v>239459.76</v>
      </c>
      <c r="F17" s="6">
        <v>239459.76</v>
      </c>
      <c r="G17" s="7">
        <v>0.75210990502035302</v>
      </c>
      <c r="H17" s="10">
        <v>0.76167922031655599</v>
      </c>
      <c r="I17" s="10">
        <v>0.76167922031655599</v>
      </c>
      <c r="J17" s="10">
        <v>1</v>
      </c>
      <c r="K17" t="s">
        <v>40</v>
      </c>
    </row>
    <row r="18" spans="1:11" ht="30" x14ac:dyDescent="0.25">
      <c r="A18" s="11" t="s">
        <v>264</v>
      </c>
      <c r="B18" s="6">
        <v>2000000</v>
      </c>
      <c r="C18" s="6">
        <v>2000000</v>
      </c>
      <c r="D18" s="6">
        <v>0</v>
      </c>
      <c r="E18" s="6">
        <v>1736440</v>
      </c>
      <c r="F18" s="6">
        <v>1736440</v>
      </c>
      <c r="G18" s="7">
        <v>0.86821999999999999</v>
      </c>
      <c r="H18" s="10">
        <v>0.86821999999999999</v>
      </c>
      <c r="I18" s="10">
        <v>0.86821999999999999</v>
      </c>
      <c r="J18" s="10">
        <v>0</v>
      </c>
      <c r="K18" t="s">
        <v>44</v>
      </c>
    </row>
    <row r="19" spans="1:11" ht="45" x14ac:dyDescent="0.25">
      <c r="A19" s="11" t="s">
        <v>263</v>
      </c>
      <c r="B19" s="6">
        <v>277010</v>
      </c>
      <c r="C19" s="6">
        <v>372000</v>
      </c>
      <c r="D19" s="6">
        <v>94990</v>
      </c>
      <c r="E19" s="6">
        <v>277010</v>
      </c>
      <c r="F19" s="6">
        <v>372000</v>
      </c>
      <c r="G19" s="7">
        <v>1</v>
      </c>
      <c r="H19" s="10">
        <v>0</v>
      </c>
      <c r="I19" s="10">
        <v>1</v>
      </c>
      <c r="J19" s="10">
        <v>1</v>
      </c>
      <c r="K19" t="s">
        <v>38</v>
      </c>
    </row>
    <row r="20" spans="1:11" ht="30" x14ac:dyDescent="0.25">
      <c r="A20" s="11" t="s">
        <v>262</v>
      </c>
      <c r="B20" s="6">
        <v>55000</v>
      </c>
      <c r="C20" s="6">
        <v>55000</v>
      </c>
      <c r="D20" s="6">
        <v>0</v>
      </c>
      <c r="E20" s="6">
        <v>55000</v>
      </c>
      <c r="F20" s="6">
        <v>55000</v>
      </c>
      <c r="G20" s="7">
        <v>1</v>
      </c>
      <c r="H20" s="10">
        <v>1</v>
      </c>
      <c r="I20" s="10">
        <v>1</v>
      </c>
      <c r="J20" s="10">
        <v>1</v>
      </c>
      <c r="K20" t="s">
        <v>38</v>
      </c>
    </row>
    <row r="21" spans="1:11" ht="30" x14ac:dyDescent="0.25">
      <c r="A21" s="11" t="s">
        <v>261</v>
      </c>
      <c r="B21" s="6">
        <v>60000</v>
      </c>
      <c r="C21" s="6">
        <v>60000</v>
      </c>
      <c r="D21" s="6">
        <v>0</v>
      </c>
      <c r="E21" s="6">
        <v>60000</v>
      </c>
      <c r="F21" s="6">
        <v>60000</v>
      </c>
      <c r="G21" s="7">
        <v>1</v>
      </c>
      <c r="H21" s="10">
        <v>1</v>
      </c>
      <c r="I21" s="10">
        <v>1</v>
      </c>
      <c r="J21" s="10">
        <v>1</v>
      </c>
      <c r="K21" t="s">
        <v>38</v>
      </c>
    </row>
    <row r="22" spans="1:11" ht="60" x14ac:dyDescent="0.25">
      <c r="A22" s="11" t="s">
        <v>260</v>
      </c>
      <c r="B22" s="6">
        <v>378573.5</v>
      </c>
      <c r="C22" s="6">
        <v>378573.5</v>
      </c>
      <c r="D22" s="6">
        <v>0</v>
      </c>
      <c r="E22" s="6">
        <v>378573.5</v>
      </c>
      <c r="F22" s="6">
        <v>378573.5</v>
      </c>
      <c r="G22" s="7">
        <v>1</v>
      </c>
      <c r="H22" s="10">
        <v>1</v>
      </c>
      <c r="I22" s="10">
        <v>1</v>
      </c>
      <c r="J22" s="10">
        <v>1</v>
      </c>
      <c r="K22" t="s">
        <v>45</v>
      </c>
    </row>
    <row r="23" spans="1:11" ht="45" x14ac:dyDescent="0.25">
      <c r="A23" s="11" t="s">
        <v>259</v>
      </c>
      <c r="B23" s="6">
        <v>1288119</v>
      </c>
      <c r="C23" s="6">
        <v>1288119</v>
      </c>
      <c r="D23" s="6">
        <v>0</v>
      </c>
      <c r="E23" s="6">
        <v>1081376.45</v>
      </c>
      <c r="F23" s="6">
        <v>1081376.45</v>
      </c>
      <c r="G23" s="7">
        <v>0.83950042659102098</v>
      </c>
      <c r="H23" s="10">
        <v>0.83950042659102098</v>
      </c>
      <c r="I23" s="10">
        <v>0.83950042659102098</v>
      </c>
      <c r="J23" s="10">
        <v>1</v>
      </c>
      <c r="K23" t="s">
        <v>39</v>
      </c>
    </row>
    <row r="24" spans="1:11" ht="60" x14ac:dyDescent="0.25">
      <c r="A24" s="11" t="s">
        <v>258</v>
      </c>
      <c r="B24" s="6">
        <v>675000</v>
      </c>
      <c r="C24" s="6">
        <v>675000</v>
      </c>
      <c r="D24" s="6">
        <v>0</v>
      </c>
      <c r="E24" s="6">
        <v>139240</v>
      </c>
      <c r="F24" s="6">
        <v>139240</v>
      </c>
      <c r="G24" s="7">
        <v>0.20628148148148101</v>
      </c>
      <c r="H24" s="10">
        <v>0.20628148148148101</v>
      </c>
      <c r="I24" s="10">
        <v>0.20628148148148101</v>
      </c>
      <c r="J24" s="10">
        <v>0.25</v>
      </c>
      <c r="K24" t="s">
        <v>38</v>
      </c>
    </row>
    <row r="25" spans="1:11" ht="60" x14ac:dyDescent="0.25">
      <c r="A25" s="11" t="s">
        <v>257</v>
      </c>
      <c r="B25" s="6">
        <v>444860</v>
      </c>
      <c r="C25" s="6">
        <v>444860</v>
      </c>
      <c r="D25" s="6">
        <v>0</v>
      </c>
      <c r="E25" s="6">
        <v>444860</v>
      </c>
      <c r="F25" s="6">
        <v>444860</v>
      </c>
      <c r="G25" s="7">
        <v>1</v>
      </c>
      <c r="H25" s="10">
        <v>1</v>
      </c>
      <c r="I25" s="10">
        <v>1</v>
      </c>
      <c r="J25" s="10">
        <v>1</v>
      </c>
      <c r="K25" t="s">
        <v>40</v>
      </c>
    </row>
    <row r="26" spans="1:11" ht="60" x14ac:dyDescent="0.25">
      <c r="A26" s="11" t="s">
        <v>256</v>
      </c>
      <c r="B26" s="6">
        <v>2210241</v>
      </c>
      <c r="C26" s="6">
        <v>2210241</v>
      </c>
      <c r="D26" s="6">
        <v>0</v>
      </c>
      <c r="E26" s="6">
        <v>2124000</v>
      </c>
      <c r="F26" s="6">
        <v>2124000</v>
      </c>
      <c r="G26" s="7">
        <v>0.960981178070627</v>
      </c>
      <c r="H26" s="10">
        <v>0.960981178070627</v>
      </c>
      <c r="I26" s="10">
        <v>0.960981178070627</v>
      </c>
      <c r="J26" s="10">
        <v>1</v>
      </c>
      <c r="K26" t="s">
        <v>39</v>
      </c>
    </row>
    <row r="27" spans="1:11" ht="30" x14ac:dyDescent="0.25">
      <c r="A27" s="11" t="s">
        <v>255</v>
      </c>
      <c r="B27" s="6">
        <v>380000</v>
      </c>
      <c r="C27" s="6">
        <v>380000</v>
      </c>
      <c r="D27" s="6">
        <v>0</v>
      </c>
      <c r="E27" s="6">
        <v>380000</v>
      </c>
      <c r="F27" s="6">
        <v>380000</v>
      </c>
      <c r="G27" s="7">
        <v>1</v>
      </c>
      <c r="H27" s="10">
        <v>8.0378684210526394E-2</v>
      </c>
      <c r="I27" s="10">
        <v>1</v>
      </c>
      <c r="J27" s="10">
        <v>1</v>
      </c>
      <c r="K27" t="s">
        <v>39</v>
      </c>
    </row>
    <row r="28" spans="1:11" ht="90" x14ac:dyDescent="0.25">
      <c r="A28" s="11" t="s">
        <v>254</v>
      </c>
      <c r="B28" s="6">
        <v>578000</v>
      </c>
      <c r="C28" s="6">
        <v>578000</v>
      </c>
      <c r="D28" s="6">
        <v>0</v>
      </c>
      <c r="E28" s="6">
        <v>578000</v>
      </c>
      <c r="F28" s="6">
        <v>578000</v>
      </c>
      <c r="G28" s="7">
        <v>1</v>
      </c>
      <c r="H28" s="10">
        <v>1</v>
      </c>
      <c r="I28" s="10">
        <v>1</v>
      </c>
      <c r="J28" s="10">
        <v>1</v>
      </c>
      <c r="K28" t="s">
        <v>40</v>
      </c>
    </row>
    <row r="29" spans="1:11" ht="45" x14ac:dyDescent="0.25">
      <c r="A29" s="11" t="s">
        <v>253</v>
      </c>
      <c r="B29" s="6">
        <v>799183</v>
      </c>
      <c r="C29" s="6">
        <v>799183</v>
      </c>
      <c r="D29" s="6">
        <v>0</v>
      </c>
      <c r="E29" s="6">
        <v>799183</v>
      </c>
      <c r="F29" s="6">
        <v>799183</v>
      </c>
      <c r="G29" s="7">
        <v>1</v>
      </c>
      <c r="H29" s="10">
        <v>0</v>
      </c>
      <c r="I29" s="10">
        <v>1</v>
      </c>
      <c r="J29" s="10">
        <v>1</v>
      </c>
      <c r="K29" t="s">
        <v>45</v>
      </c>
    </row>
    <row r="30" spans="1:11" ht="45" x14ac:dyDescent="0.25">
      <c r="A30" s="11" t="s">
        <v>252</v>
      </c>
      <c r="B30" s="6">
        <v>583722</v>
      </c>
      <c r="C30" s="6">
        <v>583722</v>
      </c>
      <c r="D30" s="6">
        <v>0</v>
      </c>
      <c r="E30" s="6">
        <v>583722</v>
      </c>
      <c r="F30" s="6">
        <v>583722</v>
      </c>
      <c r="G30" s="7">
        <v>1</v>
      </c>
      <c r="H30" s="10">
        <v>1</v>
      </c>
      <c r="I30" s="10">
        <v>1</v>
      </c>
      <c r="J30" s="10">
        <v>1</v>
      </c>
      <c r="K30" t="s">
        <v>45</v>
      </c>
    </row>
    <row r="31" spans="1:11" ht="45" x14ac:dyDescent="0.25">
      <c r="A31" s="11" t="s">
        <v>251</v>
      </c>
      <c r="B31" s="6">
        <v>1764100</v>
      </c>
      <c r="C31" s="6">
        <v>1764100</v>
      </c>
      <c r="D31" s="6">
        <v>0</v>
      </c>
      <c r="E31" s="6">
        <v>0</v>
      </c>
      <c r="F31" s="6">
        <v>0</v>
      </c>
      <c r="G31" s="7">
        <v>0</v>
      </c>
      <c r="H31" s="10">
        <v>0</v>
      </c>
      <c r="I31" s="10">
        <v>0</v>
      </c>
      <c r="J31" s="10">
        <v>0.15</v>
      </c>
      <c r="K31" t="s">
        <v>43</v>
      </c>
    </row>
    <row r="32" spans="1:11" ht="45" x14ac:dyDescent="0.25">
      <c r="A32" s="11" t="s">
        <v>250</v>
      </c>
      <c r="B32" s="6">
        <v>428340</v>
      </c>
      <c r="C32" s="6">
        <v>428340</v>
      </c>
      <c r="D32" s="6">
        <v>0</v>
      </c>
      <c r="E32" s="6">
        <v>428340</v>
      </c>
      <c r="F32" s="6">
        <v>428340</v>
      </c>
      <c r="G32" s="7">
        <v>1</v>
      </c>
      <c r="H32" s="10">
        <v>1</v>
      </c>
      <c r="I32" s="10">
        <v>1</v>
      </c>
      <c r="J32" s="10">
        <v>1</v>
      </c>
      <c r="K32" t="s">
        <v>42</v>
      </c>
    </row>
    <row r="33" spans="1:11" ht="30" x14ac:dyDescent="0.25">
      <c r="A33" s="11" t="s">
        <v>249</v>
      </c>
      <c r="B33" s="6">
        <v>578000</v>
      </c>
      <c r="C33" s="6">
        <v>578000</v>
      </c>
      <c r="D33" s="6">
        <v>0</v>
      </c>
      <c r="E33" s="6">
        <v>578000</v>
      </c>
      <c r="F33" s="6">
        <v>578000</v>
      </c>
      <c r="G33" s="7">
        <v>1</v>
      </c>
      <c r="H33" s="10">
        <v>1</v>
      </c>
      <c r="I33" s="10">
        <v>1</v>
      </c>
      <c r="J33" s="10">
        <v>1</v>
      </c>
      <c r="K33" t="s">
        <v>40</v>
      </c>
    </row>
    <row r="34" spans="1:11" ht="45" x14ac:dyDescent="0.25">
      <c r="A34" s="11" t="s">
        <v>248</v>
      </c>
      <c r="B34" s="6">
        <v>2345262</v>
      </c>
      <c r="C34" s="6">
        <v>2345262</v>
      </c>
      <c r="D34" s="6">
        <v>0</v>
      </c>
      <c r="E34" s="6">
        <v>2345262</v>
      </c>
      <c r="F34" s="6">
        <v>2345262</v>
      </c>
      <c r="G34" s="7">
        <v>1</v>
      </c>
      <c r="H34" s="10">
        <v>1</v>
      </c>
      <c r="I34" s="10">
        <v>1</v>
      </c>
      <c r="J34" s="10">
        <v>1</v>
      </c>
      <c r="K34" t="s">
        <v>39</v>
      </c>
    </row>
    <row r="35" spans="1:11" ht="45" x14ac:dyDescent="0.25">
      <c r="A35" s="11" t="s">
        <v>247</v>
      </c>
      <c r="B35" s="6">
        <v>448400</v>
      </c>
      <c r="C35" s="6">
        <v>448400</v>
      </c>
      <c r="D35" s="6">
        <v>0</v>
      </c>
      <c r="E35" s="6">
        <v>448400</v>
      </c>
      <c r="F35" s="6">
        <v>448400</v>
      </c>
      <c r="G35" s="7">
        <v>1</v>
      </c>
      <c r="H35" s="10">
        <v>1</v>
      </c>
      <c r="I35" s="10">
        <v>1</v>
      </c>
      <c r="J35" s="10">
        <v>1</v>
      </c>
      <c r="K35" t="s">
        <v>44</v>
      </c>
    </row>
    <row r="36" spans="1:11" ht="75" x14ac:dyDescent="0.25">
      <c r="A36" s="11" t="s">
        <v>246</v>
      </c>
      <c r="B36" s="6">
        <v>1138000</v>
      </c>
      <c r="C36" s="6">
        <v>1138000</v>
      </c>
      <c r="D36" s="6">
        <v>0</v>
      </c>
      <c r="E36" s="6">
        <v>1085600</v>
      </c>
      <c r="F36" s="6">
        <v>1085600</v>
      </c>
      <c r="G36" s="7">
        <v>0.95395430579964802</v>
      </c>
      <c r="H36" s="10">
        <v>0.95395430579964802</v>
      </c>
      <c r="I36" s="10">
        <v>0.95395430579964802</v>
      </c>
      <c r="J36" s="10">
        <v>1</v>
      </c>
      <c r="K36" t="s">
        <v>44</v>
      </c>
    </row>
    <row r="37" spans="1:11" ht="45" x14ac:dyDescent="0.25">
      <c r="A37" s="11" t="s">
        <v>245</v>
      </c>
      <c r="B37" s="6">
        <v>1188850</v>
      </c>
      <c r="C37" s="6">
        <v>1188850</v>
      </c>
      <c r="D37" s="6">
        <v>0</v>
      </c>
      <c r="E37" s="6">
        <v>1185310.6599999999</v>
      </c>
      <c r="F37" s="6">
        <v>1185310.6599999999</v>
      </c>
      <c r="G37" s="7">
        <v>0.99702288766455005</v>
      </c>
      <c r="H37" s="10">
        <v>0.99702288766455005</v>
      </c>
      <c r="I37" s="10">
        <v>0.99702288766455005</v>
      </c>
      <c r="J37" s="10">
        <v>1</v>
      </c>
      <c r="K37" t="s">
        <v>44</v>
      </c>
    </row>
    <row r="38" spans="1:11" ht="30" x14ac:dyDescent="0.25">
      <c r="A38" s="11" t="s">
        <v>244</v>
      </c>
      <c r="B38" s="6">
        <v>450131</v>
      </c>
      <c r="C38" s="6">
        <v>450131</v>
      </c>
      <c r="D38" s="6">
        <v>0</v>
      </c>
      <c r="E38" s="6">
        <v>450131</v>
      </c>
      <c r="F38" s="6">
        <v>450131</v>
      </c>
      <c r="G38" s="7">
        <v>1</v>
      </c>
      <c r="H38" s="10">
        <v>0.33939231023857502</v>
      </c>
      <c r="I38" s="10">
        <v>1</v>
      </c>
      <c r="J38" s="10">
        <v>1</v>
      </c>
      <c r="K38" t="s">
        <v>39</v>
      </c>
    </row>
    <row r="39" spans="1:11" x14ac:dyDescent="0.25">
      <c r="A39" s="11" t="s">
        <v>243</v>
      </c>
      <c r="B39" s="6">
        <v>84045</v>
      </c>
      <c r="C39" s="6">
        <v>293790</v>
      </c>
      <c r="D39" s="6">
        <v>209745</v>
      </c>
      <c r="E39" s="6">
        <v>84045</v>
      </c>
      <c r="F39" s="6">
        <v>293790</v>
      </c>
      <c r="G39" s="7">
        <v>1</v>
      </c>
      <c r="H39" s="10">
        <v>0</v>
      </c>
      <c r="I39" s="10">
        <v>1</v>
      </c>
      <c r="J39" s="10">
        <v>1</v>
      </c>
      <c r="K39" t="s">
        <v>39</v>
      </c>
    </row>
    <row r="40" spans="1:11" x14ac:dyDescent="0.25">
      <c r="A40" s="11" t="s">
        <v>242</v>
      </c>
      <c r="B40" s="6">
        <v>1293813</v>
      </c>
      <c r="C40" s="6">
        <v>1295877</v>
      </c>
      <c r="D40" s="6">
        <v>0</v>
      </c>
      <c r="E40" s="6">
        <v>1293813</v>
      </c>
      <c r="F40" s="6">
        <v>1293813</v>
      </c>
      <c r="G40" s="7">
        <v>0.99840725624422699</v>
      </c>
      <c r="H40" s="10">
        <v>1</v>
      </c>
      <c r="I40" s="10">
        <v>1</v>
      </c>
      <c r="J40" s="10">
        <v>1</v>
      </c>
      <c r="K40" t="s">
        <v>41</v>
      </c>
    </row>
    <row r="41" spans="1:11" ht="30" x14ac:dyDescent="0.25">
      <c r="A41" s="11" t="s">
        <v>241</v>
      </c>
      <c r="B41" s="6">
        <v>539968</v>
      </c>
      <c r="C41" s="6">
        <v>539968</v>
      </c>
      <c r="D41" s="6">
        <v>0</v>
      </c>
      <c r="E41" s="6">
        <v>539968</v>
      </c>
      <c r="F41" s="6">
        <v>539968</v>
      </c>
      <c r="G41" s="7">
        <v>1</v>
      </c>
      <c r="H41" s="10">
        <v>1</v>
      </c>
      <c r="I41" s="10">
        <v>1</v>
      </c>
      <c r="J41" s="10">
        <v>1</v>
      </c>
      <c r="K41" t="s">
        <v>41</v>
      </c>
    </row>
    <row r="42" spans="1:11" ht="45" x14ac:dyDescent="0.25">
      <c r="A42" s="11" t="s">
        <v>240</v>
      </c>
      <c r="B42" s="6">
        <v>293000</v>
      </c>
      <c r="C42" s="6">
        <v>293000</v>
      </c>
      <c r="D42" s="6">
        <v>0</v>
      </c>
      <c r="E42" s="6">
        <v>292579.82</v>
      </c>
      <c r="F42" s="6">
        <v>292579.82</v>
      </c>
      <c r="G42" s="7">
        <v>0.99856593856655296</v>
      </c>
      <c r="H42" s="10">
        <v>0.99856593856655296</v>
      </c>
      <c r="I42" s="10">
        <v>0.99856593856655296</v>
      </c>
      <c r="J42" s="10">
        <v>1</v>
      </c>
      <c r="K42" t="s">
        <v>41</v>
      </c>
    </row>
    <row r="43" spans="1:11" ht="30" x14ac:dyDescent="0.25">
      <c r="A43" s="11" t="s">
        <v>239</v>
      </c>
      <c r="B43" s="6">
        <v>200000</v>
      </c>
      <c r="C43" s="6">
        <v>200000</v>
      </c>
      <c r="D43" s="6">
        <v>0</v>
      </c>
      <c r="E43" s="6">
        <v>179855.6</v>
      </c>
      <c r="F43" s="6">
        <v>179855.6</v>
      </c>
      <c r="G43" s="7">
        <v>0.89927800000000002</v>
      </c>
      <c r="H43" s="10">
        <v>0.89927800000000002</v>
      </c>
      <c r="I43" s="10">
        <v>0.89927800000000002</v>
      </c>
      <c r="J43" s="10">
        <v>1</v>
      </c>
      <c r="K43" t="s">
        <v>41</v>
      </c>
    </row>
    <row r="44" spans="1:11" ht="30" x14ac:dyDescent="0.25">
      <c r="A44" s="11" t="s">
        <v>238</v>
      </c>
      <c r="B44" s="6">
        <v>850000</v>
      </c>
      <c r="C44" s="6">
        <v>850000</v>
      </c>
      <c r="D44" s="6">
        <v>0</v>
      </c>
      <c r="E44" s="6">
        <v>850000</v>
      </c>
      <c r="F44" s="6">
        <v>850000</v>
      </c>
      <c r="G44" s="7">
        <v>1</v>
      </c>
      <c r="H44" s="10">
        <v>1</v>
      </c>
      <c r="I44" s="10">
        <v>1</v>
      </c>
      <c r="J44" s="10">
        <v>1</v>
      </c>
      <c r="K44" t="s">
        <v>42</v>
      </c>
    </row>
    <row r="45" spans="1:11" ht="30" x14ac:dyDescent="0.25">
      <c r="A45" s="11" t="s">
        <v>237</v>
      </c>
      <c r="B45" s="6">
        <v>927286.48</v>
      </c>
      <c r="C45" s="6">
        <v>927286.48</v>
      </c>
      <c r="D45" s="6">
        <v>0</v>
      </c>
      <c r="E45" s="6">
        <v>925806.49</v>
      </c>
      <c r="F45" s="6">
        <v>925806.49</v>
      </c>
      <c r="G45" s="7">
        <v>0.99840395602446397</v>
      </c>
      <c r="H45" s="10">
        <v>0</v>
      </c>
      <c r="I45" s="10">
        <v>0.99840395602446397</v>
      </c>
      <c r="J45" s="10">
        <v>1</v>
      </c>
      <c r="K45" t="s">
        <v>44</v>
      </c>
    </row>
    <row r="46" spans="1:11" ht="45" x14ac:dyDescent="0.25">
      <c r="A46" s="11" t="s">
        <v>236</v>
      </c>
      <c r="B46" s="6">
        <v>1148146</v>
      </c>
      <c r="C46" s="6">
        <v>1179044</v>
      </c>
      <c r="D46" s="6">
        <v>0</v>
      </c>
      <c r="E46" s="6">
        <v>1148146</v>
      </c>
      <c r="F46" s="6">
        <v>1148146</v>
      </c>
      <c r="G46" s="7">
        <v>0.97379402295419004</v>
      </c>
      <c r="H46" s="10">
        <v>0.53576097464956496</v>
      </c>
      <c r="I46" s="10">
        <v>1</v>
      </c>
      <c r="J46" s="10">
        <v>1</v>
      </c>
      <c r="K46" t="s">
        <v>45</v>
      </c>
    </row>
    <row r="47" spans="1:11" ht="30" x14ac:dyDescent="0.25">
      <c r="A47" s="11" t="s">
        <v>235</v>
      </c>
      <c r="B47" s="6">
        <v>56746.2</v>
      </c>
      <c r="C47" s="6">
        <v>56746.2</v>
      </c>
      <c r="D47" s="6">
        <v>0</v>
      </c>
      <c r="E47" s="6">
        <v>56746.2</v>
      </c>
      <c r="F47" s="6">
        <v>56746.2</v>
      </c>
      <c r="G47" s="7">
        <v>1</v>
      </c>
      <c r="H47" s="10">
        <v>0</v>
      </c>
      <c r="I47" s="10">
        <v>1</v>
      </c>
      <c r="J47" s="10">
        <v>1</v>
      </c>
      <c r="K47" t="s">
        <v>40</v>
      </c>
    </row>
    <row r="48" spans="1:11" ht="30" x14ac:dyDescent="0.25">
      <c r="A48" s="11" t="s">
        <v>234</v>
      </c>
      <c r="B48" s="6">
        <v>716000</v>
      </c>
      <c r="C48" s="6">
        <v>716000</v>
      </c>
      <c r="D48" s="6">
        <v>0</v>
      </c>
      <c r="E48" s="6">
        <v>716000</v>
      </c>
      <c r="F48" s="6">
        <v>716000</v>
      </c>
      <c r="G48" s="7">
        <v>1</v>
      </c>
      <c r="H48" s="10">
        <v>0</v>
      </c>
      <c r="I48" s="10">
        <v>1</v>
      </c>
      <c r="J48" s="10">
        <v>1</v>
      </c>
      <c r="K48" t="s">
        <v>45</v>
      </c>
    </row>
    <row r="49" spans="1:11" ht="60" x14ac:dyDescent="0.25">
      <c r="A49" s="11" t="s">
        <v>233</v>
      </c>
      <c r="B49" s="6">
        <v>1835000</v>
      </c>
      <c r="C49" s="6">
        <v>1835000</v>
      </c>
      <c r="D49" s="6">
        <v>0</v>
      </c>
      <c r="E49" s="6">
        <v>1835000</v>
      </c>
      <c r="F49" s="6">
        <v>1835000</v>
      </c>
      <c r="G49" s="7">
        <v>1</v>
      </c>
      <c r="H49" s="10">
        <v>0.490463215258856</v>
      </c>
      <c r="I49" s="10">
        <v>1</v>
      </c>
      <c r="J49" s="10">
        <v>1</v>
      </c>
      <c r="K49" t="s">
        <v>40</v>
      </c>
    </row>
    <row r="50" spans="1:11" ht="45" x14ac:dyDescent="0.25">
      <c r="A50" s="11" t="s">
        <v>232</v>
      </c>
      <c r="B50" s="6">
        <v>2646250</v>
      </c>
      <c r="C50" s="6">
        <v>2646250</v>
      </c>
      <c r="D50" s="6">
        <v>0</v>
      </c>
      <c r="E50" s="6">
        <v>2096250</v>
      </c>
      <c r="F50" s="6">
        <v>2096250</v>
      </c>
      <c r="G50" s="7">
        <v>0.79215871516296599</v>
      </c>
      <c r="H50" s="10">
        <v>0</v>
      </c>
      <c r="I50" s="10">
        <v>0.79215871516296599</v>
      </c>
      <c r="J50" s="10">
        <v>1</v>
      </c>
      <c r="K50" t="s">
        <v>44</v>
      </c>
    </row>
    <row r="51" spans="1:11" ht="30" x14ac:dyDescent="0.25">
      <c r="A51" s="11" t="s">
        <v>231</v>
      </c>
      <c r="B51" s="6">
        <v>1376953</v>
      </c>
      <c r="C51" s="6">
        <v>1376953</v>
      </c>
      <c r="D51" s="6">
        <v>0</v>
      </c>
      <c r="E51" s="6">
        <v>1376953</v>
      </c>
      <c r="F51" s="6">
        <v>1376953</v>
      </c>
      <c r="G51" s="7">
        <v>1</v>
      </c>
      <c r="H51" s="10">
        <v>1</v>
      </c>
      <c r="I51" s="10">
        <v>1</v>
      </c>
      <c r="J51" s="10">
        <v>1</v>
      </c>
      <c r="K51" t="s">
        <v>42</v>
      </c>
    </row>
    <row r="52" spans="1:11" ht="30" x14ac:dyDescent="0.25">
      <c r="A52" s="11" t="s">
        <v>230</v>
      </c>
      <c r="B52" s="6">
        <v>1880000</v>
      </c>
      <c r="C52" s="6">
        <v>1880000</v>
      </c>
      <c r="D52" s="6">
        <v>0</v>
      </c>
      <c r="E52" s="6">
        <v>1880000</v>
      </c>
      <c r="F52" s="6">
        <v>1880000</v>
      </c>
      <c r="G52" s="7">
        <v>1</v>
      </c>
      <c r="H52" s="10">
        <v>0</v>
      </c>
      <c r="I52" s="10">
        <v>1</v>
      </c>
      <c r="J52" s="10">
        <v>1</v>
      </c>
      <c r="K52" t="s">
        <v>43</v>
      </c>
    </row>
    <row r="53" spans="1:11" ht="60" x14ac:dyDescent="0.25">
      <c r="A53" s="11" t="s">
        <v>229</v>
      </c>
      <c r="B53" s="6">
        <v>435000</v>
      </c>
      <c r="C53" s="6">
        <v>435000</v>
      </c>
      <c r="D53" s="6">
        <v>0</v>
      </c>
      <c r="E53" s="6">
        <v>435000</v>
      </c>
      <c r="F53" s="6">
        <v>435000</v>
      </c>
      <c r="G53" s="7">
        <v>1</v>
      </c>
      <c r="H53" s="10">
        <v>1</v>
      </c>
      <c r="I53" s="10">
        <v>1</v>
      </c>
      <c r="J53" s="10">
        <v>1</v>
      </c>
      <c r="K53" t="s">
        <v>44</v>
      </c>
    </row>
    <row r="54" spans="1:11" ht="30" x14ac:dyDescent="0.25">
      <c r="A54" s="11" t="s">
        <v>228</v>
      </c>
      <c r="B54" s="6">
        <v>2087256</v>
      </c>
      <c r="C54" s="6">
        <v>2087256</v>
      </c>
      <c r="D54" s="6">
        <v>0</v>
      </c>
      <c r="E54" s="6">
        <v>2087256</v>
      </c>
      <c r="F54" s="6">
        <v>2087256</v>
      </c>
      <c r="G54" s="7">
        <v>1</v>
      </c>
      <c r="H54" s="10">
        <v>8.8647247869930394E-3</v>
      </c>
      <c r="I54" s="10">
        <v>1</v>
      </c>
      <c r="J54" s="10">
        <v>1</v>
      </c>
      <c r="K54" t="s">
        <v>44</v>
      </c>
    </row>
    <row r="55" spans="1:11" ht="45" x14ac:dyDescent="0.25">
      <c r="A55" s="11" t="s">
        <v>227</v>
      </c>
      <c r="B55" s="6">
        <v>110000</v>
      </c>
      <c r="C55" s="6">
        <v>110000</v>
      </c>
      <c r="D55" s="6">
        <v>0</v>
      </c>
      <c r="E55" s="6">
        <v>110000</v>
      </c>
      <c r="F55" s="6">
        <v>110000</v>
      </c>
      <c r="G55" s="7">
        <v>1</v>
      </c>
      <c r="H55" s="10">
        <v>1</v>
      </c>
      <c r="I55" s="10">
        <v>1</v>
      </c>
      <c r="J55" s="10">
        <v>1</v>
      </c>
      <c r="K55" t="s">
        <v>46</v>
      </c>
    </row>
    <row r="56" spans="1:11" ht="45" x14ac:dyDescent="0.25">
      <c r="A56" s="11" t="s">
        <v>226</v>
      </c>
      <c r="B56" s="6">
        <v>80000</v>
      </c>
      <c r="C56" s="6">
        <v>80000</v>
      </c>
      <c r="D56" s="6">
        <v>0</v>
      </c>
      <c r="E56" s="6">
        <v>80000</v>
      </c>
      <c r="F56" s="6">
        <v>80000</v>
      </c>
      <c r="G56" s="7">
        <v>1</v>
      </c>
      <c r="H56" s="10">
        <v>1</v>
      </c>
      <c r="I56" s="10">
        <v>1</v>
      </c>
      <c r="J56" s="10">
        <v>1</v>
      </c>
      <c r="K56" t="s">
        <v>38</v>
      </c>
    </row>
    <row r="57" spans="1:11" ht="45" x14ac:dyDescent="0.25">
      <c r="A57" s="11" t="s">
        <v>225</v>
      </c>
      <c r="B57" s="6">
        <v>361360</v>
      </c>
      <c r="C57" s="6">
        <v>380000</v>
      </c>
      <c r="D57" s="6">
        <v>0</v>
      </c>
      <c r="E57" s="6">
        <v>306236</v>
      </c>
      <c r="F57" s="6">
        <v>306236</v>
      </c>
      <c r="G57" s="7">
        <v>0.80588421052631598</v>
      </c>
      <c r="H57" s="10">
        <v>0</v>
      </c>
      <c r="I57" s="10">
        <v>0.847454062430817</v>
      </c>
      <c r="J57" s="10">
        <v>1</v>
      </c>
      <c r="K57" t="s">
        <v>39</v>
      </c>
    </row>
    <row r="58" spans="1:11" ht="45" x14ac:dyDescent="0.25">
      <c r="A58" s="11" t="s">
        <v>224</v>
      </c>
      <c r="B58" s="6">
        <v>924577.2</v>
      </c>
      <c r="C58" s="6">
        <v>924577.2</v>
      </c>
      <c r="D58" s="6">
        <v>0</v>
      </c>
      <c r="E58" s="6">
        <v>924577.2</v>
      </c>
      <c r="F58" s="6">
        <v>924577.2</v>
      </c>
      <c r="G58" s="7">
        <v>1</v>
      </c>
      <c r="H58" s="10">
        <v>1</v>
      </c>
      <c r="I58" s="10">
        <v>1</v>
      </c>
      <c r="J58" s="10">
        <v>1</v>
      </c>
      <c r="K58" t="s">
        <v>41</v>
      </c>
    </row>
    <row r="59" spans="1:11" ht="45" x14ac:dyDescent="0.25">
      <c r="A59" s="11" t="s">
        <v>223</v>
      </c>
      <c r="B59" s="6">
        <v>80240</v>
      </c>
      <c r="C59" s="6">
        <v>80240</v>
      </c>
      <c r="D59" s="6">
        <v>0</v>
      </c>
      <c r="E59" s="6">
        <v>80240</v>
      </c>
      <c r="F59" s="6">
        <v>80240</v>
      </c>
      <c r="G59" s="7">
        <v>1</v>
      </c>
      <c r="H59" s="10">
        <v>1</v>
      </c>
      <c r="I59" s="10">
        <v>1</v>
      </c>
      <c r="J59" s="10">
        <v>1</v>
      </c>
      <c r="K59" t="s">
        <v>40</v>
      </c>
    </row>
    <row r="60" spans="1:11" ht="45" x14ac:dyDescent="0.25">
      <c r="A60" s="11" t="s">
        <v>222</v>
      </c>
      <c r="B60" s="6">
        <v>842000</v>
      </c>
      <c r="C60" s="6">
        <v>842000</v>
      </c>
      <c r="D60" s="6">
        <v>0</v>
      </c>
      <c r="E60" s="6">
        <v>841979.18</v>
      </c>
      <c r="F60" s="6">
        <v>841979.18</v>
      </c>
      <c r="G60" s="7">
        <v>0.99997527315914503</v>
      </c>
      <c r="H60" s="10">
        <v>0.78026030878859898</v>
      </c>
      <c r="I60" s="10">
        <v>0.99997527315914503</v>
      </c>
      <c r="J60" s="10">
        <v>1</v>
      </c>
      <c r="K60" t="s">
        <v>40</v>
      </c>
    </row>
    <row r="61" spans="1:11" ht="45" x14ac:dyDescent="0.25">
      <c r="A61" s="11" t="s">
        <v>221</v>
      </c>
      <c r="B61" s="6">
        <v>300000</v>
      </c>
      <c r="C61" s="6">
        <v>300000</v>
      </c>
      <c r="D61" s="6">
        <v>0</v>
      </c>
      <c r="E61" s="6">
        <v>300000</v>
      </c>
      <c r="F61" s="6">
        <v>300000</v>
      </c>
      <c r="G61" s="7">
        <v>1</v>
      </c>
      <c r="H61" s="10">
        <v>0</v>
      </c>
      <c r="I61" s="10">
        <v>1</v>
      </c>
      <c r="J61" s="10">
        <v>1</v>
      </c>
      <c r="K61" t="s">
        <v>40</v>
      </c>
    </row>
    <row r="62" spans="1:11" ht="45" x14ac:dyDescent="0.25">
      <c r="A62" s="11" t="s">
        <v>220</v>
      </c>
      <c r="B62" s="6">
        <v>550000</v>
      </c>
      <c r="C62" s="6">
        <v>550000</v>
      </c>
      <c r="D62" s="6">
        <v>0</v>
      </c>
      <c r="E62" s="6">
        <v>550000</v>
      </c>
      <c r="F62" s="6">
        <v>550000</v>
      </c>
      <c r="G62" s="7">
        <v>1</v>
      </c>
      <c r="H62" s="10">
        <v>1</v>
      </c>
      <c r="I62" s="10">
        <v>1</v>
      </c>
      <c r="J62" s="10">
        <v>1</v>
      </c>
      <c r="K62" t="s">
        <v>44</v>
      </c>
    </row>
    <row r="63" spans="1:11" ht="60" x14ac:dyDescent="0.25">
      <c r="A63" s="11" t="s">
        <v>219</v>
      </c>
      <c r="B63" s="6">
        <v>145000</v>
      </c>
      <c r="C63" s="6">
        <v>145000</v>
      </c>
      <c r="D63" s="6">
        <v>0</v>
      </c>
      <c r="E63" s="6">
        <v>145000</v>
      </c>
      <c r="F63" s="6">
        <v>145000</v>
      </c>
      <c r="G63" s="7">
        <v>1</v>
      </c>
      <c r="H63" s="10">
        <v>1</v>
      </c>
      <c r="I63" s="10">
        <v>1</v>
      </c>
      <c r="J63" s="10">
        <v>1</v>
      </c>
      <c r="K63" t="s">
        <v>44</v>
      </c>
    </row>
    <row r="64" spans="1:11" ht="45" x14ac:dyDescent="0.25">
      <c r="A64" s="11" t="s">
        <v>218</v>
      </c>
      <c r="B64" s="6">
        <v>530000</v>
      </c>
      <c r="C64" s="6">
        <v>530000</v>
      </c>
      <c r="D64" s="6">
        <v>0</v>
      </c>
      <c r="E64" s="6">
        <v>528617.68999999994</v>
      </c>
      <c r="F64" s="6">
        <v>528617.68999999994</v>
      </c>
      <c r="G64" s="7">
        <v>0.99739186792452805</v>
      </c>
      <c r="H64" s="10">
        <v>0</v>
      </c>
      <c r="I64" s="10">
        <v>0.99739186792452805</v>
      </c>
      <c r="J64" s="10">
        <v>1</v>
      </c>
      <c r="K64" t="s">
        <v>39</v>
      </c>
    </row>
    <row r="65" spans="1:11" ht="30" x14ac:dyDescent="0.25">
      <c r="A65" s="11" t="s">
        <v>217</v>
      </c>
      <c r="B65" s="6">
        <v>315432.51</v>
      </c>
      <c r="C65" s="6">
        <v>315432.51</v>
      </c>
      <c r="D65" s="6">
        <v>0</v>
      </c>
      <c r="E65" s="6">
        <v>315432.51</v>
      </c>
      <c r="F65" s="6">
        <v>315432.51</v>
      </c>
      <c r="G65" s="7">
        <v>1</v>
      </c>
      <c r="H65" s="10">
        <v>1</v>
      </c>
      <c r="I65" s="10">
        <v>1</v>
      </c>
      <c r="J65" s="10">
        <v>1</v>
      </c>
      <c r="K65" t="s">
        <v>41</v>
      </c>
    </row>
    <row r="66" spans="1:11" ht="30" x14ac:dyDescent="0.25">
      <c r="A66" s="11" t="s">
        <v>216</v>
      </c>
      <c r="B66" s="6">
        <v>40000</v>
      </c>
      <c r="C66" s="6">
        <v>40000</v>
      </c>
      <c r="D66" s="6">
        <v>0</v>
      </c>
      <c r="E66" s="6">
        <v>39920.199999999997</v>
      </c>
      <c r="F66" s="6">
        <v>39920.199999999997</v>
      </c>
      <c r="G66" s="7">
        <v>0.99800500000000003</v>
      </c>
      <c r="H66" s="10">
        <v>0.99800500000000003</v>
      </c>
      <c r="I66" s="10">
        <v>0.99800500000000003</v>
      </c>
      <c r="J66" s="10">
        <v>1</v>
      </c>
      <c r="K66" t="s">
        <v>41</v>
      </c>
    </row>
    <row r="67" spans="1:11" ht="30" x14ac:dyDescent="0.25">
      <c r="A67" s="11" t="s">
        <v>215</v>
      </c>
      <c r="B67" s="6">
        <v>90000</v>
      </c>
      <c r="C67" s="6">
        <v>90000</v>
      </c>
      <c r="D67" s="6">
        <v>0</v>
      </c>
      <c r="E67" s="6">
        <v>90000</v>
      </c>
      <c r="F67" s="6">
        <v>90000</v>
      </c>
      <c r="G67" s="7">
        <v>1</v>
      </c>
      <c r="H67" s="10">
        <v>1</v>
      </c>
      <c r="I67" s="10">
        <v>1</v>
      </c>
      <c r="J67" s="10">
        <v>1</v>
      </c>
      <c r="K67" t="s">
        <v>41</v>
      </c>
    </row>
    <row r="68" spans="1:11" ht="60" x14ac:dyDescent="0.25">
      <c r="A68" s="11" t="s">
        <v>214</v>
      </c>
      <c r="B68" s="6">
        <v>165000</v>
      </c>
      <c r="C68" s="6">
        <v>165000</v>
      </c>
      <c r="D68" s="6">
        <v>0</v>
      </c>
      <c r="E68" s="6">
        <v>165000</v>
      </c>
      <c r="F68" s="6">
        <v>165000</v>
      </c>
      <c r="G68" s="7">
        <v>1</v>
      </c>
      <c r="H68" s="10">
        <v>0</v>
      </c>
      <c r="I68" s="10">
        <v>1</v>
      </c>
      <c r="J68" s="10">
        <v>1</v>
      </c>
      <c r="K68" t="s">
        <v>41</v>
      </c>
    </row>
    <row r="69" spans="1:11" ht="30" x14ac:dyDescent="0.25">
      <c r="A69" s="11" t="s">
        <v>213</v>
      </c>
      <c r="B69" s="6">
        <v>10000</v>
      </c>
      <c r="C69" s="6">
        <v>10000</v>
      </c>
      <c r="D69" s="6">
        <v>0</v>
      </c>
      <c r="E69" s="6">
        <v>10000</v>
      </c>
      <c r="F69" s="6">
        <v>10000</v>
      </c>
      <c r="G69" s="7">
        <v>1</v>
      </c>
      <c r="H69" s="10">
        <v>0</v>
      </c>
      <c r="I69" s="10">
        <v>1</v>
      </c>
      <c r="J69" s="10">
        <v>1</v>
      </c>
      <c r="K69" t="s">
        <v>41</v>
      </c>
    </row>
    <row r="70" spans="1:11" ht="30" x14ac:dyDescent="0.25">
      <c r="A70" s="11" t="s">
        <v>212</v>
      </c>
      <c r="B70" s="6">
        <v>35000</v>
      </c>
      <c r="C70" s="6">
        <v>35000</v>
      </c>
      <c r="D70" s="6">
        <v>0</v>
      </c>
      <c r="E70" s="6">
        <v>35000</v>
      </c>
      <c r="F70" s="6">
        <v>35000</v>
      </c>
      <c r="G70" s="7">
        <v>1</v>
      </c>
      <c r="H70" s="10">
        <v>0</v>
      </c>
      <c r="I70" s="10">
        <v>1</v>
      </c>
      <c r="J70" s="10">
        <v>1</v>
      </c>
      <c r="K70" t="s">
        <v>41</v>
      </c>
    </row>
    <row r="71" spans="1:11" ht="45" x14ac:dyDescent="0.25">
      <c r="A71" s="11" t="s">
        <v>211</v>
      </c>
      <c r="B71" s="6">
        <v>100000</v>
      </c>
      <c r="C71" s="6">
        <v>100000</v>
      </c>
      <c r="D71" s="6">
        <v>0</v>
      </c>
      <c r="E71" s="6">
        <v>100000</v>
      </c>
      <c r="F71" s="6">
        <v>100000</v>
      </c>
      <c r="G71" s="7">
        <v>1</v>
      </c>
      <c r="H71" s="10">
        <v>0</v>
      </c>
      <c r="I71" s="10">
        <v>1</v>
      </c>
      <c r="J71" s="10">
        <v>1</v>
      </c>
      <c r="K71" t="s">
        <v>41</v>
      </c>
    </row>
    <row r="72" spans="1:11" ht="30" x14ac:dyDescent="0.25">
      <c r="A72" s="11" t="s">
        <v>210</v>
      </c>
      <c r="B72" s="6">
        <v>20000</v>
      </c>
      <c r="C72" s="6">
        <v>20000</v>
      </c>
      <c r="D72" s="6">
        <v>0</v>
      </c>
      <c r="E72" s="6">
        <v>20000</v>
      </c>
      <c r="F72" s="6">
        <v>20000</v>
      </c>
      <c r="G72" s="7">
        <v>1</v>
      </c>
      <c r="H72" s="10">
        <v>0</v>
      </c>
      <c r="I72" s="10">
        <v>1</v>
      </c>
      <c r="J72" s="10">
        <v>1</v>
      </c>
      <c r="K72" t="s">
        <v>41</v>
      </c>
    </row>
    <row r="73" spans="1:11" ht="30" x14ac:dyDescent="0.25">
      <c r="A73" s="11" t="s">
        <v>209</v>
      </c>
      <c r="B73" s="6">
        <v>80000</v>
      </c>
      <c r="C73" s="6">
        <v>80000</v>
      </c>
      <c r="D73" s="6">
        <v>0</v>
      </c>
      <c r="E73" s="6">
        <v>80000</v>
      </c>
      <c r="F73" s="6">
        <v>80000</v>
      </c>
      <c r="G73" s="7">
        <v>1</v>
      </c>
      <c r="H73" s="10">
        <v>0</v>
      </c>
      <c r="I73" s="10">
        <v>1</v>
      </c>
      <c r="J73" s="10">
        <v>1</v>
      </c>
      <c r="K73" t="s">
        <v>41</v>
      </c>
    </row>
    <row r="74" spans="1:11" ht="30" x14ac:dyDescent="0.25">
      <c r="A74" s="11" t="s">
        <v>208</v>
      </c>
      <c r="B74" s="6">
        <v>45000</v>
      </c>
      <c r="C74" s="6">
        <v>45000</v>
      </c>
      <c r="D74" s="6">
        <v>0</v>
      </c>
      <c r="E74" s="6">
        <v>45000</v>
      </c>
      <c r="F74" s="6">
        <v>45000</v>
      </c>
      <c r="G74" s="7">
        <v>1</v>
      </c>
      <c r="H74" s="10">
        <v>0</v>
      </c>
      <c r="I74" s="10">
        <v>1</v>
      </c>
      <c r="J74" s="10">
        <v>1</v>
      </c>
      <c r="K74" t="s">
        <v>41</v>
      </c>
    </row>
    <row r="75" spans="1:11" ht="30" x14ac:dyDescent="0.25">
      <c r="A75" s="11" t="s">
        <v>207</v>
      </c>
      <c r="B75" s="6">
        <v>599923.80000000005</v>
      </c>
      <c r="C75" s="6">
        <v>599923.80000000005</v>
      </c>
      <c r="D75" s="6">
        <v>0</v>
      </c>
      <c r="E75" s="6">
        <v>599923.80000000005</v>
      </c>
      <c r="F75" s="6">
        <v>599923.80000000005</v>
      </c>
      <c r="G75" s="7">
        <v>1</v>
      </c>
      <c r="H75" s="10">
        <v>1</v>
      </c>
      <c r="I75" s="10">
        <v>1</v>
      </c>
      <c r="J75" s="10">
        <v>1</v>
      </c>
      <c r="K75" t="s">
        <v>41</v>
      </c>
    </row>
    <row r="76" spans="1:11" ht="30" x14ac:dyDescent="0.25">
      <c r="A76" s="11" t="s">
        <v>206</v>
      </c>
      <c r="B76" s="6">
        <v>219000</v>
      </c>
      <c r="C76" s="6">
        <v>219000</v>
      </c>
      <c r="D76" s="6">
        <v>0</v>
      </c>
      <c r="E76" s="6">
        <v>219000</v>
      </c>
      <c r="F76" s="6">
        <v>219000</v>
      </c>
      <c r="G76" s="7">
        <v>1</v>
      </c>
      <c r="H76" s="10">
        <v>1</v>
      </c>
      <c r="I76" s="10">
        <v>1</v>
      </c>
      <c r="J76" s="10">
        <v>1</v>
      </c>
      <c r="K76" t="s">
        <v>41</v>
      </c>
    </row>
    <row r="77" spans="1:11" ht="30" x14ac:dyDescent="0.25">
      <c r="A77" s="11" t="s">
        <v>205</v>
      </c>
      <c r="B77" s="6">
        <v>623657.16</v>
      </c>
      <c r="C77" s="6">
        <v>623657.16</v>
      </c>
      <c r="D77" s="6">
        <v>0</v>
      </c>
      <c r="E77" s="6">
        <v>623657.16</v>
      </c>
      <c r="F77" s="6">
        <v>623657.16</v>
      </c>
      <c r="G77" s="7">
        <v>1</v>
      </c>
      <c r="H77" s="10">
        <v>1</v>
      </c>
      <c r="I77" s="10">
        <v>1</v>
      </c>
      <c r="J77" s="10">
        <v>1</v>
      </c>
      <c r="K77" t="s">
        <v>41</v>
      </c>
    </row>
    <row r="78" spans="1:11" ht="30" x14ac:dyDescent="0.25">
      <c r="A78" s="11" t="s">
        <v>204</v>
      </c>
      <c r="B78" s="6">
        <v>958160</v>
      </c>
      <c r="C78" s="6">
        <v>958160</v>
      </c>
      <c r="D78" s="6">
        <v>0</v>
      </c>
      <c r="E78" s="6">
        <v>958160</v>
      </c>
      <c r="F78" s="6">
        <v>958160</v>
      </c>
      <c r="G78" s="7">
        <v>1</v>
      </c>
      <c r="H78" s="10">
        <v>1</v>
      </c>
      <c r="I78" s="10">
        <v>1</v>
      </c>
      <c r="J78" s="10">
        <v>1</v>
      </c>
      <c r="K78" t="s">
        <v>41</v>
      </c>
    </row>
    <row r="79" spans="1:11" ht="30" x14ac:dyDescent="0.25">
      <c r="A79" s="11" t="s">
        <v>203</v>
      </c>
      <c r="B79" s="6">
        <v>2249333.9300000002</v>
      </c>
      <c r="C79" s="6">
        <v>2249333.9300000002</v>
      </c>
      <c r="D79" s="6">
        <v>0</v>
      </c>
      <c r="E79" s="6">
        <v>2152556</v>
      </c>
      <c r="F79" s="6">
        <v>2152556</v>
      </c>
      <c r="G79" s="7">
        <v>0.95697484988367199</v>
      </c>
      <c r="H79" s="10">
        <v>0.95697484988367199</v>
      </c>
      <c r="I79" s="10">
        <v>0.95697484988367199</v>
      </c>
      <c r="J79" s="10">
        <v>1</v>
      </c>
      <c r="K79" t="s">
        <v>41</v>
      </c>
    </row>
    <row r="80" spans="1:11" ht="30" x14ac:dyDescent="0.25">
      <c r="A80" s="11" t="s">
        <v>202</v>
      </c>
      <c r="B80" s="6">
        <v>1000000</v>
      </c>
      <c r="C80" s="6">
        <v>1000000</v>
      </c>
      <c r="D80" s="6">
        <v>0</v>
      </c>
      <c r="E80" s="6">
        <v>1000000</v>
      </c>
      <c r="F80" s="6">
        <v>1000000</v>
      </c>
      <c r="G80" s="7">
        <v>1</v>
      </c>
      <c r="H80" s="10">
        <v>1</v>
      </c>
      <c r="I80" s="10">
        <v>1</v>
      </c>
      <c r="J80" s="10">
        <v>1</v>
      </c>
      <c r="K80" t="s">
        <v>39</v>
      </c>
    </row>
    <row r="81" spans="1:11" ht="30" x14ac:dyDescent="0.25">
      <c r="A81" s="11" t="s">
        <v>201</v>
      </c>
      <c r="B81" s="6">
        <v>2002460</v>
      </c>
      <c r="C81" s="6">
        <v>2002460</v>
      </c>
      <c r="D81" s="6">
        <v>0</v>
      </c>
      <c r="E81" s="6">
        <v>2002460</v>
      </c>
      <c r="F81" s="6">
        <v>2002460</v>
      </c>
      <c r="G81" s="7">
        <v>1</v>
      </c>
      <c r="H81" s="10">
        <v>1</v>
      </c>
      <c r="I81" s="10">
        <v>1</v>
      </c>
      <c r="J81" s="10">
        <v>1</v>
      </c>
      <c r="K81" t="s">
        <v>43</v>
      </c>
    </row>
    <row r="82" spans="1:11" ht="45" x14ac:dyDescent="0.25">
      <c r="A82" s="11" t="s">
        <v>200</v>
      </c>
      <c r="B82" s="6">
        <v>584100</v>
      </c>
      <c r="C82" s="6">
        <v>584100</v>
      </c>
      <c r="D82" s="6">
        <v>0</v>
      </c>
      <c r="E82" s="6">
        <v>584100</v>
      </c>
      <c r="F82" s="6">
        <v>584100</v>
      </c>
      <c r="G82" s="7">
        <v>1</v>
      </c>
      <c r="H82" s="10">
        <v>0.55741482622838601</v>
      </c>
      <c r="I82" s="10">
        <v>1</v>
      </c>
      <c r="J82" s="10">
        <v>1</v>
      </c>
      <c r="K82" t="s">
        <v>43</v>
      </c>
    </row>
    <row r="83" spans="1:11" ht="30" x14ac:dyDescent="0.25">
      <c r="A83" s="11" t="s">
        <v>199</v>
      </c>
      <c r="B83" s="6">
        <v>1250000</v>
      </c>
      <c r="C83" s="6">
        <v>1504500</v>
      </c>
      <c r="D83" s="6">
        <v>0</v>
      </c>
      <c r="E83" s="6">
        <v>1250000</v>
      </c>
      <c r="F83" s="6">
        <v>1250000</v>
      </c>
      <c r="G83" s="7">
        <v>0.830840810900631</v>
      </c>
      <c r="H83" s="10">
        <v>1</v>
      </c>
      <c r="I83" s="10">
        <v>1</v>
      </c>
      <c r="J83" s="10">
        <v>1</v>
      </c>
      <c r="K83" t="s">
        <v>43</v>
      </c>
    </row>
    <row r="84" spans="1:11" ht="30" x14ac:dyDescent="0.25">
      <c r="A84" s="11" t="s">
        <v>198</v>
      </c>
      <c r="B84" s="6">
        <v>250021</v>
      </c>
      <c r="C84" s="6">
        <v>250021</v>
      </c>
      <c r="D84" s="6">
        <v>0</v>
      </c>
      <c r="E84" s="6">
        <v>250021</v>
      </c>
      <c r="F84" s="6">
        <v>250021</v>
      </c>
      <c r="G84" s="7">
        <v>1</v>
      </c>
      <c r="H84" s="10">
        <v>1</v>
      </c>
      <c r="I84" s="10">
        <v>1</v>
      </c>
      <c r="J84" s="10">
        <v>1</v>
      </c>
      <c r="K84" t="s">
        <v>43</v>
      </c>
    </row>
    <row r="85" spans="1:11" ht="30" x14ac:dyDescent="0.25">
      <c r="A85" s="11" t="s">
        <v>197</v>
      </c>
      <c r="B85" s="6">
        <v>162192</v>
      </c>
      <c r="C85" s="6">
        <v>162192</v>
      </c>
      <c r="D85" s="6">
        <v>0</v>
      </c>
      <c r="E85" s="6">
        <v>162191.79999999999</v>
      </c>
      <c r="F85" s="6">
        <v>162191.79999999999</v>
      </c>
      <c r="G85" s="7">
        <v>0.99999876689355804</v>
      </c>
      <c r="H85" s="10">
        <v>0.99999876689355804</v>
      </c>
      <c r="I85" s="10">
        <v>0.99999876689355804</v>
      </c>
      <c r="J85" s="10">
        <v>1</v>
      </c>
      <c r="K85" t="s">
        <v>43</v>
      </c>
    </row>
    <row r="86" spans="1:11" ht="30" x14ac:dyDescent="0.25">
      <c r="A86" s="11" t="s">
        <v>196</v>
      </c>
      <c r="B86" s="6">
        <v>731600</v>
      </c>
      <c r="C86" s="6">
        <v>731600</v>
      </c>
      <c r="D86" s="6">
        <v>0</v>
      </c>
      <c r="E86" s="6">
        <v>731600</v>
      </c>
      <c r="F86" s="6">
        <v>731600</v>
      </c>
      <c r="G86" s="7">
        <v>1</v>
      </c>
      <c r="H86" s="10">
        <v>0.238629032258065</v>
      </c>
      <c r="I86" s="10">
        <v>1</v>
      </c>
      <c r="J86" s="10">
        <v>1</v>
      </c>
      <c r="K86" t="s">
        <v>43</v>
      </c>
    </row>
    <row r="87" spans="1:11" ht="30" x14ac:dyDescent="0.25">
      <c r="A87" s="11" t="s">
        <v>195</v>
      </c>
      <c r="B87" s="6">
        <v>152367</v>
      </c>
      <c r="C87" s="6">
        <v>152367</v>
      </c>
      <c r="D87" s="6">
        <v>0</v>
      </c>
      <c r="E87" s="6">
        <v>152367</v>
      </c>
      <c r="F87" s="6">
        <v>152367</v>
      </c>
      <c r="G87" s="7">
        <v>1</v>
      </c>
      <c r="H87" s="10">
        <v>1</v>
      </c>
      <c r="I87" s="10">
        <v>1</v>
      </c>
      <c r="J87" s="10">
        <v>1</v>
      </c>
      <c r="K87" t="s">
        <v>42</v>
      </c>
    </row>
    <row r="88" spans="1:11" ht="30" x14ac:dyDescent="0.25">
      <c r="A88" s="11" t="s">
        <v>194</v>
      </c>
      <c r="B88" s="6">
        <v>326400</v>
      </c>
      <c r="C88" s="6">
        <v>326400</v>
      </c>
      <c r="D88" s="6">
        <v>0</v>
      </c>
      <c r="E88" s="6">
        <v>326400</v>
      </c>
      <c r="F88" s="6">
        <v>326400</v>
      </c>
      <c r="G88" s="7">
        <v>1</v>
      </c>
      <c r="H88" s="10">
        <v>1</v>
      </c>
      <c r="I88" s="10">
        <v>1</v>
      </c>
      <c r="J88" s="10">
        <v>1</v>
      </c>
      <c r="K88" t="s">
        <v>42</v>
      </c>
    </row>
    <row r="89" spans="1:11" ht="30" x14ac:dyDescent="0.25">
      <c r="A89" s="11" t="s">
        <v>193</v>
      </c>
      <c r="B89" s="6">
        <v>660824.78</v>
      </c>
      <c r="C89" s="6">
        <v>660824.78</v>
      </c>
      <c r="D89" s="6">
        <v>0</v>
      </c>
      <c r="E89" s="6">
        <v>660824.78</v>
      </c>
      <c r="F89" s="6">
        <v>660824.78</v>
      </c>
      <c r="G89" s="7">
        <v>1</v>
      </c>
      <c r="H89" s="10">
        <v>1</v>
      </c>
      <c r="I89" s="10">
        <v>1</v>
      </c>
      <c r="J89" s="10">
        <v>1</v>
      </c>
      <c r="K89" t="s">
        <v>42</v>
      </c>
    </row>
    <row r="90" spans="1:11" ht="30" x14ac:dyDescent="0.25">
      <c r="A90" s="11" t="s">
        <v>192</v>
      </c>
      <c r="B90" s="6">
        <v>195712</v>
      </c>
      <c r="C90" s="6">
        <v>195712</v>
      </c>
      <c r="D90" s="6">
        <v>0</v>
      </c>
      <c r="E90" s="6">
        <v>195712</v>
      </c>
      <c r="F90" s="6">
        <v>195712</v>
      </c>
      <c r="G90" s="7">
        <v>1</v>
      </c>
      <c r="H90" s="10">
        <v>1</v>
      </c>
      <c r="I90" s="10">
        <v>1</v>
      </c>
      <c r="J90" s="10">
        <v>1</v>
      </c>
      <c r="K90" t="s">
        <v>42</v>
      </c>
    </row>
    <row r="91" spans="1:11" ht="30" x14ac:dyDescent="0.25">
      <c r="A91" s="11" t="s">
        <v>191</v>
      </c>
      <c r="B91" s="6">
        <v>282529</v>
      </c>
      <c r="C91" s="6">
        <v>282529</v>
      </c>
      <c r="D91" s="6">
        <v>0</v>
      </c>
      <c r="E91" s="6">
        <v>282529</v>
      </c>
      <c r="F91" s="6">
        <v>282529</v>
      </c>
      <c r="G91" s="7">
        <v>1</v>
      </c>
      <c r="H91" s="10">
        <v>1</v>
      </c>
      <c r="I91" s="10">
        <v>1</v>
      </c>
      <c r="J91" s="10">
        <v>1</v>
      </c>
      <c r="K91" t="s">
        <v>42</v>
      </c>
    </row>
    <row r="92" spans="1:11" ht="30" x14ac:dyDescent="0.25">
      <c r="A92" s="11" t="s">
        <v>190</v>
      </c>
      <c r="B92" s="6">
        <v>2127500</v>
      </c>
      <c r="C92" s="6">
        <v>2127500</v>
      </c>
      <c r="D92" s="6">
        <v>0</v>
      </c>
      <c r="E92" s="6">
        <v>2127500</v>
      </c>
      <c r="F92" s="6">
        <v>2127500</v>
      </c>
      <c r="G92" s="7">
        <v>1</v>
      </c>
      <c r="H92" s="10">
        <v>1</v>
      </c>
      <c r="I92" s="10">
        <v>1</v>
      </c>
      <c r="J92" s="10">
        <v>1</v>
      </c>
      <c r="K92" t="s">
        <v>42</v>
      </c>
    </row>
    <row r="93" spans="1:11" ht="30" x14ac:dyDescent="0.25">
      <c r="A93" s="11" t="s">
        <v>189</v>
      </c>
      <c r="B93" s="6">
        <v>104530.3</v>
      </c>
      <c r="C93" s="6">
        <v>104530.3</v>
      </c>
      <c r="D93" s="6">
        <v>0</v>
      </c>
      <c r="E93" s="6">
        <v>104530.3</v>
      </c>
      <c r="F93" s="6">
        <v>104530.3</v>
      </c>
      <c r="G93" s="7">
        <v>1</v>
      </c>
      <c r="H93" s="10">
        <v>4.33395867035683E-2</v>
      </c>
      <c r="I93" s="10">
        <v>1</v>
      </c>
      <c r="J93" s="10">
        <v>1</v>
      </c>
      <c r="K93" t="s">
        <v>42</v>
      </c>
    </row>
    <row r="94" spans="1:11" ht="30" x14ac:dyDescent="0.25">
      <c r="A94" s="11" t="s">
        <v>188</v>
      </c>
      <c r="B94" s="6">
        <v>548068</v>
      </c>
      <c r="C94" s="6">
        <v>548068</v>
      </c>
      <c r="D94" s="6">
        <v>0</v>
      </c>
      <c r="E94" s="6">
        <v>548068</v>
      </c>
      <c r="F94" s="6">
        <v>548068</v>
      </c>
      <c r="G94" s="7">
        <v>1</v>
      </c>
      <c r="H94" s="10">
        <v>1</v>
      </c>
      <c r="I94" s="10">
        <v>1</v>
      </c>
      <c r="J94" s="10">
        <v>1</v>
      </c>
      <c r="K94" t="s">
        <v>42</v>
      </c>
    </row>
    <row r="95" spans="1:11" ht="30" x14ac:dyDescent="0.25">
      <c r="A95" s="11" t="s">
        <v>187</v>
      </c>
      <c r="B95" s="6">
        <v>156910.5</v>
      </c>
      <c r="C95" s="6">
        <v>156910.5</v>
      </c>
      <c r="D95" s="6">
        <v>0</v>
      </c>
      <c r="E95" s="6">
        <v>156910.5</v>
      </c>
      <c r="F95" s="6">
        <v>156910.5</v>
      </c>
      <c r="G95" s="7">
        <v>1</v>
      </c>
      <c r="H95" s="10">
        <v>1</v>
      </c>
      <c r="I95" s="10">
        <v>1</v>
      </c>
      <c r="J95" s="10">
        <v>1</v>
      </c>
      <c r="K95" t="s">
        <v>42</v>
      </c>
    </row>
    <row r="96" spans="1:11" ht="30" x14ac:dyDescent="0.25">
      <c r="A96" s="11" t="s">
        <v>186</v>
      </c>
      <c r="B96" s="6">
        <v>200000</v>
      </c>
      <c r="C96" s="6">
        <v>200000</v>
      </c>
      <c r="D96" s="6">
        <v>0</v>
      </c>
      <c r="E96" s="6">
        <v>200000</v>
      </c>
      <c r="F96" s="6">
        <v>200000</v>
      </c>
      <c r="G96" s="7">
        <v>1</v>
      </c>
      <c r="H96" s="10">
        <v>1</v>
      </c>
      <c r="I96" s="10">
        <v>1</v>
      </c>
      <c r="J96" s="10">
        <v>1</v>
      </c>
      <c r="K96" t="s">
        <v>42</v>
      </c>
    </row>
    <row r="97" spans="1:11" ht="30" x14ac:dyDescent="0.25">
      <c r="A97" s="11" t="s">
        <v>185</v>
      </c>
      <c r="B97" s="6">
        <v>145199</v>
      </c>
      <c r="C97" s="6">
        <v>145199</v>
      </c>
      <c r="D97" s="6">
        <v>0</v>
      </c>
      <c r="E97" s="6">
        <v>145199</v>
      </c>
      <c r="F97" s="6">
        <v>145199</v>
      </c>
      <c r="G97" s="7">
        <v>1</v>
      </c>
      <c r="H97" s="10">
        <v>1</v>
      </c>
      <c r="I97" s="10">
        <v>1</v>
      </c>
      <c r="J97" s="10">
        <v>1</v>
      </c>
      <c r="K97" t="s">
        <v>42</v>
      </c>
    </row>
    <row r="98" spans="1:11" ht="30" x14ac:dyDescent="0.25">
      <c r="A98" s="11" t="s">
        <v>184</v>
      </c>
      <c r="B98" s="6">
        <v>200000</v>
      </c>
      <c r="C98" s="6">
        <v>200000</v>
      </c>
      <c r="D98" s="6">
        <v>0</v>
      </c>
      <c r="E98" s="6">
        <v>200000</v>
      </c>
      <c r="F98" s="6">
        <v>200000</v>
      </c>
      <c r="G98" s="7">
        <v>1</v>
      </c>
      <c r="H98" s="10">
        <v>0</v>
      </c>
      <c r="I98" s="10">
        <v>1</v>
      </c>
      <c r="J98" s="10">
        <v>1</v>
      </c>
      <c r="K98" t="s">
        <v>42</v>
      </c>
    </row>
    <row r="99" spans="1:11" ht="30" x14ac:dyDescent="0.25">
      <c r="A99" s="11" t="s">
        <v>183</v>
      </c>
      <c r="B99" s="6">
        <v>945428</v>
      </c>
      <c r="C99" s="6">
        <v>945428</v>
      </c>
      <c r="D99" s="6">
        <v>0</v>
      </c>
      <c r="E99" s="6">
        <v>945428</v>
      </c>
      <c r="F99" s="6">
        <v>945428</v>
      </c>
      <c r="G99" s="7">
        <v>1</v>
      </c>
      <c r="H99" s="10">
        <v>1</v>
      </c>
      <c r="I99" s="10">
        <v>1</v>
      </c>
      <c r="J99" s="10">
        <v>1</v>
      </c>
      <c r="K99" t="s">
        <v>42</v>
      </c>
    </row>
    <row r="100" spans="1:11" ht="30" x14ac:dyDescent="0.25">
      <c r="A100" s="11" t="s">
        <v>182</v>
      </c>
      <c r="B100" s="6">
        <v>380175</v>
      </c>
      <c r="C100" s="6">
        <v>380175</v>
      </c>
      <c r="D100" s="6">
        <v>0</v>
      </c>
      <c r="E100" s="6">
        <v>380175</v>
      </c>
      <c r="F100" s="6">
        <v>380175</v>
      </c>
      <c r="G100" s="7">
        <v>1</v>
      </c>
      <c r="H100" s="10">
        <v>0.129279936871178</v>
      </c>
      <c r="I100" s="10">
        <v>1</v>
      </c>
      <c r="J100" s="10">
        <v>1</v>
      </c>
      <c r="K100" t="s">
        <v>42</v>
      </c>
    </row>
    <row r="101" spans="1:11" ht="30" x14ac:dyDescent="0.25">
      <c r="A101" s="11" t="s">
        <v>181</v>
      </c>
      <c r="B101" s="6">
        <v>143016</v>
      </c>
      <c r="C101" s="6">
        <v>143016</v>
      </c>
      <c r="D101" s="6">
        <v>0</v>
      </c>
      <c r="E101" s="6">
        <v>143016</v>
      </c>
      <c r="F101" s="6">
        <v>143016</v>
      </c>
      <c r="G101" s="7">
        <v>1</v>
      </c>
      <c r="H101" s="10">
        <v>1</v>
      </c>
      <c r="I101" s="10">
        <v>1</v>
      </c>
      <c r="J101" s="10">
        <v>1</v>
      </c>
      <c r="K101" t="s">
        <v>42</v>
      </c>
    </row>
    <row r="102" spans="1:11" ht="30" x14ac:dyDescent="0.25">
      <c r="A102" s="11" t="s">
        <v>180</v>
      </c>
      <c r="B102" s="6">
        <v>328040</v>
      </c>
      <c r="C102" s="6">
        <v>328040</v>
      </c>
      <c r="D102" s="6">
        <v>0</v>
      </c>
      <c r="E102" s="6">
        <v>328040</v>
      </c>
      <c r="F102" s="6">
        <v>328040</v>
      </c>
      <c r="G102" s="7">
        <v>1</v>
      </c>
      <c r="H102" s="10">
        <v>1</v>
      </c>
      <c r="I102" s="10">
        <v>1</v>
      </c>
      <c r="J102" s="10">
        <v>1</v>
      </c>
      <c r="K102" t="s">
        <v>42</v>
      </c>
    </row>
    <row r="103" spans="1:11" ht="30" x14ac:dyDescent="0.25">
      <c r="A103" s="11" t="s">
        <v>179</v>
      </c>
      <c r="B103" s="6">
        <v>250000</v>
      </c>
      <c r="C103" s="6">
        <v>250000</v>
      </c>
      <c r="D103" s="6">
        <v>0</v>
      </c>
      <c r="E103" s="6">
        <v>250000</v>
      </c>
      <c r="F103" s="6">
        <v>250000</v>
      </c>
      <c r="G103" s="7">
        <v>1</v>
      </c>
      <c r="H103" s="10">
        <v>0</v>
      </c>
      <c r="I103" s="10">
        <v>1</v>
      </c>
      <c r="J103" s="10">
        <v>1</v>
      </c>
      <c r="K103" t="s">
        <v>42</v>
      </c>
    </row>
    <row r="104" spans="1:11" ht="30" x14ac:dyDescent="0.25">
      <c r="A104" s="11" t="s">
        <v>178</v>
      </c>
      <c r="B104" s="6">
        <v>253098</v>
      </c>
      <c r="C104" s="6">
        <v>253098</v>
      </c>
      <c r="D104" s="6">
        <v>0</v>
      </c>
      <c r="E104" s="6">
        <v>253098</v>
      </c>
      <c r="F104" s="6">
        <v>253098</v>
      </c>
      <c r="G104" s="7">
        <v>1</v>
      </c>
      <c r="H104" s="10">
        <v>1</v>
      </c>
      <c r="I104" s="10">
        <v>1</v>
      </c>
      <c r="J104" s="10">
        <v>1</v>
      </c>
      <c r="K104" t="s">
        <v>42</v>
      </c>
    </row>
    <row r="105" spans="1:11" ht="30" x14ac:dyDescent="0.25">
      <c r="A105" s="11" t="s">
        <v>177</v>
      </c>
      <c r="B105" s="6">
        <v>299637</v>
      </c>
      <c r="C105" s="6">
        <v>299637</v>
      </c>
      <c r="D105" s="6">
        <v>0</v>
      </c>
      <c r="E105" s="6">
        <v>299637</v>
      </c>
      <c r="F105" s="6">
        <v>299637</v>
      </c>
      <c r="G105" s="7">
        <v>1</v>
      </c>
      <c r="H105" s="10">
        <v>1</v>
      </c>
      <c r="I105" s="10">
        <v>1</v>
      </c>
      <c r="J105" s="10">
        <v>1</v>
      </c>
      <c r="K105" t="s">
        <v>42</v>
      </c>
    </row>
    <row r="106" spans="1:11" ht="30" x14ac:dyDescent="0.25">
      <c r="A106" s="11" t="s">
        <v>176</v>
      </c>
      <c r="B106" s="6">
        <v>662806</v>
      </c>
      <c r="C106" s="6">
        <v>662806</v>
      </c>
      <c r="D106" s="6">
        <v>0</v>
      </c>
      <c r="E106" s="6">
        <v>662806</v>
      </c>
      <c r="F106" s="6">
        <v>662806</v>
      </c>
      <c r="G106" s="7">
        <v>1</v>
      </c>
      <c r="H106" s="10">
        <v>1</v>
      </c>
      <c r="I106" s="10">
        <v>1</v>
      </c>
      <c r="J106" s="10">
        <v>1</v>
      </c>
      <c r="K106" t="s">
        <v>42</v>
      </c>
    </row>
    <row r="107" spans="1:11" ht="30" x14ac:dyDescent="0.25">
      <c r="A107" s="11" t="s">
        <v>175</v>
      </c>
      <c r="B107" s="6">
        <v>140844</v>
      </c>
      <c r="C107" s="6">
        <v>140844</v>
      </c>
      <c r="D107" s="6">
        <v>0</v>
      </c>
      <c r="E107" s="6">
        <v>140844</v>
      </c>
      <c r="F107" s="6">
        <v>140844</v>
      </c>
      <c r="G107" s="7">
        <v>1</v>
      </c>
      <c r="H107" s="10">
        <v>1</v>
      </c>
      <c r="I107" s="10">
        <v>1</v>
      </c>
      <c r="J107" s="10">
        <v>1</v>
      </c>
      <c r="K107" t="s">
        <v>42</v>
      </c>
    </row>
    <row r="108" spans="1:11" ht="30" x14ac:dyDescent="0.25">
      <c r="A108" s="11" t="s">
        <v>174</v>
      </c>
      <c r="B108" s="6">
        <v>750000</v>
      </c>
      <c r="C108" s="6">
        <v>750000</v>
      </c>
      <c r="D108" s="6">
        <v>0</v>
      </c>
      <c r="E108" s="6">
        <v>0</v>
      </c>
      <c r="F108" s="6">
        <v>0</v>
      </c>
      <c r="G108" s="7">
        <v>0</v>
      </c>
      <c r="H108" s="10">
        <v>0</v>
      </c>
      <c r="I108" s="10">
        <v>0</v>
      </c>
      <c r="J108" s="10">
        <v>0.15</v>
      </c>
      <c r="K108" t="s">
        <v>42</v>
      </c>
    </row>
    <row r="109" spans="1:11" ht="30" x14ac:dyDescent="0.25">
      <c r="A109" s="11" t="s">
        <v>173</v>
      </c>
      <c r="B109" s="6">
        <v>531202.96</v>
      </c>
      <c r="C109" s="6">
        <v>531202.96</v>
      </c>
      <c r="D109" s="6">
        <v>0</v>
      </c>
      <c r="E109" s="6">
        <v>531202.96</v>
      </c>
      <c r="F109" s="6">
        <v>531202.96</v>
      </c>
      <c r="G109" s="7">
        <v>1</v>
      </c>
      <c r="H109" s="10">
        <v>1</v>
      </c>
      <c r="I109" s="10">
        <v>1</v>
      </c>
      <c r="J109" s="10">
        <v>1</v>
      </c>
      <c r="K109" t="s">
        <v>42</v>
      </c>
    </row>
    <row r="110" spans="1:11" ht="30" x14ac:dyDescent="0.25">
      <c r="A110" s="11" t="s">
        <v>172</v>
      </c>
      <c r="B110" s="6">
        <v>260000</v>
      </c>
      <c r="C110" s="6">
        <v>260000</v>
      </c>
      <c r="D110" s="6">
        <v>0</v>
      </c>
      <c r="E110" s="6">
        <v>212400</v>
      </c>
      <c r="F110" s="6">
        <v>212400</v>
      </c>
      <c r="G110" s="7">
        <v>0.81692307692307697</v>
      </c>
      <c r="H110" s="10">
        <v>0.81692307692307697</v>
      </c>
      <c r="I110" s="10">
        <v>0.81692307692307697</v>
      </c>
      <c r="J110" s="10">
        <v>1</v>
      </c>
      <c r="K110" t="s">
        <v>38</v>
      </c>
    </row>
    <row r="111" spans="1:11" ht="30" x14ac:dyDescent="0.25">
      <c r="A111" s="11" t="s">
        <v>171</v>
      </c>
      <c r="B111" s="6">
        <v>50000</v>
      </c>
      <c r="C111" s="6">
        <v>50000</v>
      </c>
      <c r="D111" s="6">
        <v>0</v>
      </c>
      <c r="E111" s="6">
        <v>50000</v>
      </c>
      <c r="F111" s="6">
        <v>50000</v>
      </c>
      <c r="G111" s="7">
        <v>1</v>
      </c>
      <c r="H111" s="10">
        <v>1</v>
      </c>
      <c r="I111" s="10">
        <v>1</v>
      </c>
      <c r="J111" s="10">
        <v>1</v>
      </c>
      <c r="K111" t="s">
        <v>38</v>
      </c>
    </row>
    <row r="112" spans="1:11" ht="30" x14ac:dyDescent="0.25">
      <c r="A112" s="11" t="s">
        <v>170</v>
      </c>
      <c r="B112" s="6">
        <v>724992</v>
      </c>
      <c r="C112" s="6">
        <v>724992</v>
      </c>
      <c r="D112" s="6">
        <v>0</v>
      </c>
      <c r="E112" s="6">
        <v>724992</v>
      </c>
      <c r="F112" s="6">
        <v>724992</v>
      </c>
      <c r="G112" s="7">
        <v>1</v>
      </c>
      <c r="H112" s="10">
        <v>1</v>
      </c>
      <c r="I112" s="10">
        <v>1</v>
      </c>
      <c r="J112" s="10">
        <v>1</v>
      </c>
      <c r="K112" t="s">
        <v>38</v>
      </c>
    </row>
    <row r="113" spans="1:11" ht="30" x14ac:dyDescent="0.25">
      <c r="A113" s="11" t="s">
        <v>169</v>
      </c>
      <c r="B113" s="6">
        <v>497000</v>
      </c>
      <c r="C113" s="6">
        <v>497000</v>
      </c>
      <c r="D113" s="6">
        <v>0</v>
      </c>
      <c r="E113" s="6">
        <v>457014</v>
      </c>
      <c r="F113" s="6">
        <v>457014</v>
      </c>
      <c r="G113" s="7">
        <v>0.91954527162977895</v>
      </c>
      <c r="H113" s="10">
        <v>0.91954527162977895</v>
      </c>
      <c r="I113" s="10">
        <v>0.91954527162977895</v>
      </c>
      <c r="J113" s="10">
        <v>0</v>
      </c>
      <c r="K113" t="s">
        <v>38</v>
      </c>
    </row>
    <row r="114" spans="1:11" ht="30" x14ac:dyDescent="0.25">
      <c r="A114" s="11" t="s">
        <v>168</v>
      </c>
      <c r="B114" s="6">
        <v>20000</v>
      </c>
      <c r="C114" s="6">
        <v>20000</v>
      </c>
      <c r="D114" s="6">
        <v>0</v>
      </c>
      <c r="E114" s="6">
        <v>20000</v>
      </c>
      <c r="F114" s="6">
        <v>20000</v>
      </c>
      <c r="G114" s="7">
        <v>1</v>
      </c>
      <c r="H114" s="10">
        <v>1</v>
      </c>
      <c r="I114" s="10">
        <v>1</v>
      </c>
      <c r="J114" s="10">
        <v>1</v>
      </c>
      <c r="K114" t="s">
        <v>38</v>
      </c>
    </row>
    <row r="115" spans="1:11" ht="30" x14ac:dyDescent="0.25">
      <c r="A115" s="11" t="s">
        <v>167</v>
      </c>
      <c r="B115" s="6">
        <v>228496.5</v>
      </c>
      <c r="C115" s="6">
        <v>228496.5</v>
      </c>
      <c r="D115" s="6">
        <v>0</v>
      </c>
      <c r="E115" s="6">
        <v>207870</v>
      </c>
      <c r="F115" s="6">
        <v>207870</v>
      </c>
      <c r="G115" s="7">
        <v>0.90972947069211096</v>
      </c>
      <c r="H115" s="10">
        <v>8.75286929538204E-8</v>
      </c>
      <c r="I115" s="10">
        <v>0.90972947069211096</v>
      </c>
      <c r="J115" s="10">
        <v>1</v>
      </c>
      <c r="K115" t="s">
        <v>38</v>
      </c>
    </row>
    <row r="116" spans="1:11" ht="45" x14ac:dyDescent="0.25">
      <c r="A116" s="11" t="s">
        <v>166</v>
      </c>
      <c r="B116" s="6">
        <v>14836505.43</v>
      </c>
      <c r="C116" s="6">
        <v>14836505.43</v>
      </c>
      <c r="D116" s="6">
        <v>0</v>
      </c>
      <c r="E116" s="6">
        <v>14836505.43</v>
      </c>
      <c r="F116" s="6">
        <v>14836505.43</v>
      </c>
      <c r="G116" s="7">
        <v>1</v>
      </c>
      <c r="H116" s="10">
        <v>1</v>
      </c>
      <c r="I116" s="10">
        <v>1</v>
      </c>
      <c r="J116" s="10">
        <v>1</v>
      </c>
      <c r="K116" t="s">
        <v>38</v>
      </c>
    </row>
    <row r="117" spans="1:11" ht="30" x14ac:dyDescent="0.25">
      <c r="A117" s="11" t="s">
        <v>165</v>
      </c>
      <c r="B117" s="6">
        <v>230000</v>
      </c>
      <c r="C117" s="6">
        <v>230000</v>
      </c>
      <c r="D117" s="6">
        <v>0</v>
      </c>
      <c r="E117" s="6">
        <v>0</v>
      </c>
      <c r="F117" s="6">
        <v>0</v>
      </c>
      <c r="G117" s="7">
        <v>0</v>
      </c>
      <c r="H117" s="10">
        <v>0</v>
      </c>
      <c r="I117" s="10">
        <v>0</v>
      </c>
      <c r="J117" s="10">
        <v>0.1</v>
      </c>
      <c r="K117" t="s">
        <v>38</v>
      </c>
    </row>
    <row r="118" spans="1:11" ht="60" x14ac:dyDescent="0.25">
      <c r="A118" s="11" t="s">
        <v>164</v>
      </c>
      <c r="B118" s="6">
        <v>27385744.489999998</v>
      </c>
      <c r="C118" s="6">
        <v>27385744.489999998</v>
      </c>
      <c r="D118" s="6">
        <v>0</v>
      </c>
      <c r="E118" s="6">
        <v>27385744.489999998</v>
      </c>
      <c r="F118" s="6">
        <v>27385744.489999998</v>
      </c>
      <c r="G118" s="7">
        <v>1</v>
      </c>
      <c r="H118" s="10">
        <v>1</v>
      </c>
      <c r="I118" s="10">
        <v>1</v>
      </c>
      <c r="J118" s="10">
        <v>1</v>
      </c>
      <c r="K118" t="s">
        <v>38</v>
      </c>
    </row>
    <row r="119" spans="1:11" ht="60" x14ac:dyDescent="0.25">
      <c r="A119" s="11" t="s">
        <v>163</v>
      </c>
      <c r="B119" s="6">
        <v>245000</v>
      </c>
      <c r="C119" s="6">
        <v>245000</v>
      </c>
      <c r="D119" s="6">
        <v>0</v>
      </c>
      <c r="E119" s="6">
        <v>245000</v>
      </c>
      <c r="F119" s="6">
        <v>245000</v>
      </c>
      <c r="G119" s="7">
        <v>1</v>
      </c>
      <c r="H119" s="10">
        <v>0.59183673469387799</v>
      </c>
      <c r="I119" s="10">
        <v>1</v>
      </c>
      <c r="J119" s="10">
        <v>1</v>
      </c>
      <c r="K119" t="s">
        <v>38</v>
      </c>
    </row>
    <row r="120" spans="1:11" ht="30" x14ac:dyDescent="0.25">
      <c r="A120" s="11" t="s">
        <v>162</v>
      </c>
      <c r="B120" s="6">
        <v>707756.2</v>
      </c>
      <c r="C120" s="6">
        <v>707756.2</v>
      </c>
      <c r="D120" s="6">
        <v>0</v>
      </c>
      <c r="E120" s="6">
        <v>707756.2</v>
      </c>
      <c r="F120" s="6">
        <v>707756.2</v>
      </c>
      <c r="G120" s="7">
        <v>1</v>
      </c>
      <c r="H120" s="10">
        <v>0</v>
      </c>
      <c r="I120" s="10">
        <v>1</v>
      </c>
      <c r="J120" s="10">
        <v>1</v>
      </c>
      <c r="K120" t="s">
        <v>38</v>
      </c>
    </row>
    <row r="121" spans="1:11" ht="30" x14ac:dyDescent="0.25">
      <c r="A121" s="11" t="s">
        <v>161</v>
      </c>
      <c r="B121" s="6">
        <v>25000</v>
      </c>
      <c r="C121" s="6">
        <v>25000</v>
      </c>
      <c r="D121" s="6">
        <v>0</v>
      </c>
      <c r="E121" s="6">
        <v>25000</v>
      </c>
      <c r="F121" s="6">
        <v>25000</v>
      </c>
      <c r="G121" s="7">
        <v>1</v>
      </c>
      <c r="H121" s="10">
        <v>0.36</v>
      </c>
      <c r="I121" s="10">
        <v>1</v>
      </c>
      <c r="J121" s="10">
        <v>1</v>
      </c>
      <c r="K121" t="s">
        <v>38</v>
      </c>
    </row>
    <row r="122" spans="1:11" ht="30" x14ac:dyDescent="0.25">
      <c r="A122" s="11" t="s">
        <v>160</v>
      </c>
      <c r="B122" s="6">
        <v>45000</v>
      </c>
      <c r="C122" s="6">
        <v>45000</v>
      </c>
      <c r="D122" s="6">
        <v>0</v>
      </c>
      <c r="E122" s="6">
        <v>45000</v>
      </c>
      <c r="F122" s="6">
        <v>45000</v>
      </c>
      <c r="G122" s="7">
        <v>1</v>
      </c>
      <c r="H122" s="10">
        <v>0</v>
      </c>
      <c r="I122" s="10">
        <v>1</v>
      </c>
      <c r="J122" s="10">
        <v>1</v>
      </c>
      <c r="K122" t="s">
        <v>38</v>
      </c>
    </row>
    <row r="123" spans="1:11" ht="30" x14ac:dyDescent="0.25">
      <c r="A123" s="11" t="s">
        <v>159</v>
      </c>
      <c r="B123" s="6">
        <v>2838857</v>
      </c>
      <c r="C123" s="6">
        <v>2838857</v>
      </c>
      <c r="D123" s="6">
        <v>0</v>
      </c>
      <c r="E123" s="6">
        <v>2838857</v>
      </c>
      <c r="F123" s="6">
        <v>2838857</v>
      </c>
      <c r="G123" s="7">
        <v>1</v>
      </c>
      <c r="H123" s="10">
        <v>0.60472610631673196</v>
      </c>
      <c r="I123" s="10">
        <v>1</v>
      </c>
      <c r="J123" s="10">
        <v>1</v>
      </c>
      <c r="K123" t="s">
        <v>38</v>
      </c>
    </row>
    <row r="124" spans="1:11" ht="30" x14ac:dyDescent="0.25">
      <c r="A124" s="11" t="s">
        <v>158</v>
      </c>
      <c r="B124" s="6">
        <v>900000</v>
      </c>
      <c r="C124" s="6">
        <v>900000</v>
      </c>
      <c r="D124" s="6">
        <v>0</v>
      </c>
      <c r="E124" s="6">
        <v>900000</v>
      </c>
      <c r="F124" s="6">
        <v>900000</v>
      </c>
      <c r="G124" s="7">
        <v>1</v>
      </c>
      <c r="H124" s="10">
        <v>1</v>
      </c>
      <c r="I124" s="10">
        <v>1</v>
      </c>
      <c r="J124" s="10">
        <v>1</v>
      </c>
      <c r="K124" t="s">
        <v>39</v>
      </c>
    </row>
    <row r="125" spans="1:11" ht="30" x14ac:dyDescent="0.25">
      <c r="A125" s="11" t="s">
        <v>157</v>
      </c>
      <c r="B125" s="6">
        <v>1500000</v>
      </c>
      <c r="C125" s="6">
        <v>1500000</v>
      </c>
      <c r="D125" s="6">
        <v>0</v>
      </c>
      <c r="E125" s="6">
        <v>1500000</v>
      </c>
      <c r="F125" s="6">
        <v>1500000</v>
      </c>
      <c r="G125" s="7">
        <v>1</v>
      </c>
      <c r="H125" s="10">
        <v>1</v>
      </c>
      <c r="I125" s="10">
        <v>1</v>
      </c>
      <c r="J125" s="10">
        <v>1</v>
      </c>
      <c r="K125" t="s">
        <v>39</v>
      </c>
    </row>
    <row r="126" spans="1:11" ht="30" x14ac:dyDescent="0.25">
      <c r="A126" s="11" t="s">
        <v>156</v>
      </c>
      <c r="B126" s="6">
        <v>236070.8</v>
      </c>
      <c r="C126" s="6">
        <v>236070.8</v>
      </c>
      <c r="D126" s="6">
        <v>0</v>
      </c>
      <c r="E126" s="6">
        <v>236070.8</v>
      </c>
      <c r="F126" s="6">
        <v>236070.8</v>
      </c>
      <c r="G126" s="7">
        <v>1</v>
      </c>
      <c r="H126" s="10">
        <v>0</v>
      </c>
      <c r="I126" s="10">
        <v>1</v>
      </c>
      <c r="J126" s="10">
        <v>1</v>
      </c>
      <c r="K126" t="s">
        <v>39</v>
      </c>
    </row>
    <row r="127" spans="1:11" ht="30" x14ac:dyDescent="0.25">
      <c r="A127" s="11" t="s">
        <v>155</v>
      </c>
      <c r="B127" s="6">
        <v>281077</v>
      </c>
      <c r="C127" s="6">
        <v>281077</v>
      </c>
      <c r="D127" s="6">
        <v>0</v>
      </c>
      <c r="E127" s="6">
        <v>0</v>
      </c>
      <c r="F127" s="6">
        <v>0</v>
      </c>
      <c r="G127" s="7">
        <v>0</v>
      </c>
      <c r="H127" s="10">
        <v>0</v>
      </c>
      <c r="I127" s="10">
        <v>0</v>
      </c>
      <c r="J127" s="10">
        <v>0</v>
      </c>
      <c r="K127" t="s">
        <v>39</v>
      </c>
    </row>
    <row r="128" spans="1:11" ht="30" x14ac:dyDescent="0.25">
      <c r="A128" s="11" t="s">
        <v>154</v>
      </c>
      <c r="B128" s="6">
        <v>550000</v>
      </c>
      <c r="C128" s="6">
        <v>550000</v>
      </c>
      <c r="D128" s="6">
        <v>0</v>
      </c>
      <c r="E128" s="6">
        <v>550000</v>
      </c>
      <c r="F128" s="6">
        <v>550000</v>
      </c>
      <c r="G128" s="7">
        <v>1</v>
      </c>
      <c r="H128" s="10">
        <v>1</v>
      </c>
      <c r="I128" s="10">
        <v>1</v>
      </c>
      <c r="J128" s="10">
        <v>1</v>
      </c>
      <c r="K128" t="s">
        <v>39</v>
      </c>
    </row>
    <row r="129" spans="1:11" ht="45" x14ac:dyDescent="0.25">
      <c r="A129" s="11" t="s">
        <v>153</v>
      </c>
      <c r="B129" s="6">
        <v>628457</v>
      </c>
      <c r="C129" s="6">
        <v>650000</v>
      </c>
      <c r="D129" s="6">
        <v>0</v>
      </c>
      <c r="E129" s="6">
        <v>628457</v>
      </c>
      <c r="F129" s="6">
        <v>628457</v>
      </c>
      <c r="G129" s="7">
        <v>0.96685692307692295</v>
      </c>
      <c r="H129" s="10">
        <v>1</v>
      </c>
      <c r="I129" s="10">
        <v>1</v>
      </c>
      <c r="J129" s="10">
        <v>1</v>
      </c>
      <c r="K129" t="s">
        <v>39</v>
      </c>
    </row>
    <row r="130" spans="1:11" ht="30" x14ac:dyDescent="0.25">
      <c r="A130" s="11" t="s">
        <v>152</v>
      </c>
      <c r="B130" s="6">
        <v>50000</v>
      </c>
      <c r="C130" s="6">
        <v>50000</v>
      </c>
      <c r="D130" s="6">
        <v>0</v>
      </c>
      <c r="E130" s="6">
        <v>50000</v>
      </c>
      <c r="F130" s="6">
        <v>50000</v>
      </c>
      <c r="G130" s="7">
        <v>1</v>
      </c>
      <c r="H130" s="10">
        <v>1</v>
      </c>
      <c r="I130" s="10">
        <v>1</v>
      </c>
      <c r="J130" s="10">
        <v>1</v>
      </c>
      <c r="K130" t="s">
        <v>46</v>
      </c>
    </row>
    <row r="131" spans="1:11" ht="30" x14ac:dyDescent="0.25">
      <c r="A131" s="11" t="s">
        <v>151</v>
      </c>
      <c r="B131" s="6">
        <v>152692</v>
      </c>
      <c r="C131" s="6">
        <v>152692</v>
      </c>
      <c r="D131" s="6">
        <v>0</v>
      </c>
      <c r="E131" s="6">
        <v>152692</v>
      </c>
      <c r="F131" s="6">
        <v>152692</v>
      </c>
      <c r="G131" s="7">
        <v>1</v>
      </c>
      <c r="H131" s="10">
        <v>0</v>
      </c>
      <c r="I131" s="10">
        <v>1</v>
      </c>
      <c r="J131" s="10">
        <v>1</v>
      </c>
      <c r="K131" t="s">
        <v>46</v>
      </c>
    </row>
    <row r="132" spans="1:11" ht="45" x14ac:dyDescent="0.25">
      <c r="A132" s="11" t="s">
        <v>150</v>
      </c>
      <c r="B132" s="6">
        <v>100000</v>
      </c>
      <c r="C132" s="6">
        <v>100000</v>
      </c>
      <c r="D132" s="6">
        <v>0</v>
      </c>
      <c r="E132" s="6">
        <v>100000</v>
      </c>
      <c r="F132" s="6">
        <v>100000</v>
      </c>
      <c r="G132" s="7">
        <v>1</v>
      </c>
      <c r="H132" s="10">
        <v>1</v>
      </c>
      <c r="I132" s="10">
        <v>1</v>
      </c>
      <c r="J132" s="10">
        <v>1</v>
      </c>
      <c r="K132" t="s">
        <v>46</v>
      </c>
    </row>
    <row r="133" spans="1:11" ht="45" x14ac:dyDescent="0.25">
      <c r="A133" s="11" t="s">
        <v>149</v>
      </c>
      <c r="B133" s="6">
        <v>115000</v>
      </c>
      <c r="C133" s="6">
        <v>115000</v>
      </c>
      <c r="D133" s="6">
        <v>0</v>
      </c>
      <c r="E133" s="6">
        <v>115000</v>
      </c>
      <c r="F133" s="6">
        <v>115000</v>
      </c>
      <c r="G133" s="7">
        <v>1</v>
      </c>
      <c r="H133" s="10">
        <v>1</v>
      </c>
      <c r="I133" s="10">
        <v>1</v>
      </c>
      <c r="J133" s="10">
        <v>1</v>
      </c>
      <c r="K133" t="s">
        <v>46</v>
      </c>
    </row>
    <row r="134" spans="1:11" ht="30" x14ac:dyDescent="0.25">
      <c r="A134" s="11" t="s">
        <v>148</v>
      </c>
      <c r="B134" s="6">
        <v>30000</v>
      </c>
      <c r="C134" s="6">
        <v>30000</v>
      </c>
      <c r="D134" s="6">
        <v>0</v>
      </c>
      <c r="E134" s="6">
        <v>30000</v>
      </c>
      <c r="F134" s="6">
        <v>30000</v>
      </c>
      <c r="G134" s="7">
        <v>1</v>
      </c>
      <c r="H134" s="10">
        <v>1</v>
      </c>
      <c r="I134" s="10">
        <v>1</v>
      </c>
      <c r="J134" s="10">
        <v>1</v>
      </c>
      <c r="K134" t="s">
        <v>46</v>
      </c>
    </row>
    <row r="135" spans="1:11" ht="45" x14ac:dyDescent="0.25">
      <c r="A135" s="11" t="s">
        <v>147</v>
      </c>
      <c r="B135" s="6">
        <v>525517</v>
      </c>
      <c r="C135" s="6">
        <v>525517</v>
      </c>
      <c r="D135" s="6">
        <v>0</v>
      </c>
      <c r="E135" s="6">
        <v>525517</v>
      </c>
      <c r="F135" s="6">
        <v>525517</v>
      </c>
      <c r="G135" s="7">
        <v>1</v>
      </c>
      <c r="H135" s="10">
        <v>0</v>
      </c>
      <c r="I135" s="10">
        <v>1</v>
      </c>
      <c r="J135" s="10">
        <v>1</v>
      </c>
      <c r="K135" t="s">
        <v>46</v>
      </c>
    </row>
    <row r="136" spans="1:11" ht="45" x14ac:dyDescent="0.25">
      <c r="A136" s="11" t="s">
        <v>146</v>
      </c>
      <c r="B136" s="6">
        <v>516840</v>
      </c>
      <c r="C136" s="6">
        <v>516840</v>
      </c>
      <c r="D136" s="6">
        <v>0</v>
      </c>
      <c r="E136" s="6">
        <v>516840</v>
      </c>
      <c r="F136" s="6">
        <v>516840</v>
      </c>
      <c r="G136" s="7">
        <v>1</v>
      </c>
      <c r="H136" s="10">
        <v>1</v>
      </c>
      <c r="I136" s="10">
        <v>1</v>
      </c>
      <c r="J136" s="10">
        <v>1</v>
      </c>
      <c r="K136" t="s">
        <v>46</v>
      </c>
    </row>
    <row r="137" spans="1:11" ht="30" x14ac:dyDescent="0.25">
      <c r="A137" s="11" t="s">
        <v>145</v>
      </c>
      <c r="B137" s="6">
        <v>1198000</v>
      </c>
      <c r="C137" s="6">
        <v>1198000</v>
      </c>
      <c r="D137" s="6">
        <v>0</v>
      </c>
      <c r="E137" s="6">
        <v>1198000</v>
      </c>
      <c r="F137" s="6">
        <v>1198000</v>
      </c>
      <c r="G137" s="7">
        <v>1</v>
      </c>
      <c r="H137" s="10">
        <v>1</v>
      </c>
      <c r="I137" s="10">
        <v>1</v>
      </c>
      <c r="J137" s="10">
        <v>1</v>
      </c>
      <c r="K137" t="s">
        <v>40</v>
      </c>
    </row>
    <row r="138" spans="1:11" ht="30" x14ac:dyDescent="0.25">
      <c r="A138" s="11" t="s">
        <v>144</v>
      </c>
      <c r="B138" s="6">
        <v>1100000</v>
      </c>
      <c r="C138" s="6">
        <v>1100000</v>
      </c>
      <c r="D138" s="6">
        <v>0</v>
      </c>
      <c r="E138" s="6">
        <v>1100000</v>
      </c>
      <c r="F138" s="6">
        <v>1100000</v>
      </c>
      <c r="G138" s="7">
        <v>1</v>
      </c>
      <c r="H138" s="10">
        <v>0</v>
      </c>
      <c r="I138" s="10">
        <v>1</v>
      </c>
      <c r="J138" s="10">
        <v>1</v>
      </c>
      <c r="K138" t="s">
        <v>40</v>
      </c>
    </row>
    <row r="139" spans="1:11" ht="30" x14ac:dyDescent="0.25">
      <c r="A139" s="11" t="s">
        <v>143</v>
      </c>
      <c r="B139" s="6">
        <v>1200000</v>
      </c>
      <c r="C139" s="6">
        <v>1200000</v>
      </c>
      <c r="D139" s="6">
        <v>0</v>
      </c>
      <c r="E139" s="6">
        <v>1200000</v>
      </c>
      <c r="F139" s="6">
        <v>1200000</v>
      </c>
      <c r="G139" s="7">
        <v>1</v>
      </c>
      <c r="H139" s="10">
        <v>0</v>
      </c>
      <c r="I139" s="10">
        <v>1</v>
      </c>
      <c r="J139" s="10">
        <v>1</v>
      </c>
      <c r="K139" t="s">
        <v>40</v>
      </c>
    </row>
    <row r="140" spans="1:11" ht="30" x14ac:dyDescent="0.25">
      <c r="A140" s="11" t="s">
        <v>142</v>
      </c>
      <c r="B140" s="6">
        <v>665000</v>
      </c>
      <c r="C140" s="6">
        <v>665000</v>
      </c>
      <c r="D140" s="6">
        <v>0</v>
      </c>
      <c r="E140" s="6">
        <v>665000</v>
      </c>
      <c r="F140" s="6">
        <v>665000</v>
      </c>
      <c r="G140" s="7">
        <v>1</v>
      </c>
      <c r="H140" s="10">
        <v>0</v>
      </c>
      <c r="I140" s="10">
        <v>1</v>
      </c>
      <c r="J140" s="10">
        <v>1</v>
      </c>
      <c r="K140" t="s">
        <v>40</v>
      </c>
    </row>
    <row r="141" spans="1:11" ht="45" x14ac:dyDescent="0.25">
      <c r="A141" s="11" t="s">
        <v>141</v>
      </c>
      <c r="B141" s="6">
        <v>1026000</v>
      </c>
      <c r="C141" s="6">
        <v>1026000</v>
      </c>
      <c r="D141" s="6">
        <v>0</v>
      </c>
      <c r="E141" s="6">
        <v>1026000</v>
      </c>
      <c r="F141" s="6">
        <v>1026000</v>
      </c>
      <c r="G141" s="7">
        <v>1</v>
      </c>
      <c r="H141" s="10">
        <v>0.45321637426900602</v>
      </c>
      <c r="I141" s="10">
        <v>1</v>
      </c>
      <c r="J141" s="10">
        <v>1</v>
      </c>
      <c r="K141" t="s">
        <v>40</v>
      </c>
    </row>
    <row r="142" spans="1:11" ht="30" x14ac:dyDescent="0.25">
      <c r="A142" s="11" t="s">
        <v>140</v>
      </c>
      <c r="B142" s="6">
        <v>2320000</v>
      </c>
      <c r="C142" s="6">
        <v>2320000</v>
      </c>
      <c r="D142" s="6">
        <v>0</v>
      </c>
      <c r="E142" s="6">
        <v>2320000</v>
      </c>
      <c r="F142" s="6">
        <v>2320000</v>
      </c>
      <c r="G142" s="7">
        <v>1</v>
      </c>
      <c r="H142" s="10">
        <v>0</v>
      </c>
      <c r="I142" s="10">
        <v>1</v>
      </c>
      <c r="J142" s="10">
        <v>1</v>
      </c>
      <c r="K142" t="s">
        <v>40</v>
      </c>
    </row>
    <row r="143" spans="1:11" ht="30" x14ac:dyDescent="0.25">
      <c r="A143" s="11" t="s">
        <v>139</v>
      </c>
      <c r="B143" s="6">
        <v>262018.47</v>
      </c>
      <c r="C143" s="6">
        <v>262018.47</v>
      </c>
      <c r="D143" s="6">
        <v>0</v>
      </c>
      <c r="E143" s="6">
        <v>262018.47</v>
      </c>
      <c r="F143" s="6">
        <v>262018.47</v>
      </c>
      <c r="G143" s="7">
        <v>1</v>
      </c>
      <c r="H143" s="10">
        <v>1</v>
      </c>
      <c r="I143" s="10">
        <v>1</v>
      </c>
      <c r="J143" s="10">
        <v>1</v>
      </c>
      <c r="K143" t="s">
        <v>40</v>
      </c>
    </row>
    <row r="144" spans="1:11" ht="30" x14ac:dyDescent="0.25">
      <c r="A144" s="11" t="s">
        <v>138</v>
      </c>
      <c r="B144" s="6">
        <v>40000</v>
      </c>
      <c r="C144" s="6">
        <v>40000</v>
      </c>
      <c r="D144" s="6">
        <v>0</v>
      </c>
      <c r="E144" s="6">
        <v>31329</v>
      </c>
      <c r="F144" s="6">
        <v>31329</v>
      </c>
      <c r="G144" s="7">
        <v>0.78322499999999995</v>
      </c>
      <c r="H144" s="10">
        <v>0</v>
      </c>
      <c r="I144" s="10">
        <v>0.78322499999999995</v>
      </c>
      <c r="J144" s="10">
        <v>1</v>
      </c>
      <c r="K144" t="s">
        <v>40</v>
      </c>
    </row>
    <row r="145" spans="1:11" ht="45" x14ac:dyDescent="0.25">
      <c r="A145" s="11" t="s">
        <v>137</v>
      </c>
      <c r="B145" s="6">
        <v>852196</v>
      </c>
      <c r="C145" s="6">
        <v>852196</v>
      </c>
      <c r="D145" s="6">
        <v>0</v>
      </c>
      <c r="E145" s="6">
        <v>815457.1</v>
      </c>
      <c r="F145" s="6">
        <v>815457.1</v>
      </c>
      <c r="G145" s="7">
        <v>0.95688914287323601</v>
      </c>
      <c r="H145" s="10">
        <v>0.95688914287323601</v>
      </c>
      <c r="I145" s="10">
        <v>0.95688914287323601</v>
      </c>
      <c r="J145" s="10">
        <v>1</v>
      </c>
      <c r="K145" t="s">
        <v>40</v>
      </c>
    </row>
    <row r="146" spans="1:11" ht="45" x14ac:dyDescent="0.25">
      <c r="A146" s="11" t="s">
        <v>136</v>
      </c>
      <c r="B146" s="6">
        <v>70000</v>
      </c>
      <c r="C146" s="6">
        <v>70000</v>
      </c>
      <c r="D146" s="6">
        <v>0</v>
      </c>
      <c r="E146" s="6">
        <v>70000</v>
      </c>
      <c r="F146" s="6">
        <v>70000</v>
      </c>
      <c r="G146" s="7">
        <v>1</v>
      </c>
      <c r="H146" s="10">
        <v>1</v>
      </c>
      <c r="I146" s="10">
        <v>1</v>
      </c>
      <c r="J146" s="10">
        <v>1</v>
      </c>
      <c r="K146" t="s">
        <v>40</v>
      </c>
    </row>
    <row r="147" spans="1:11" ht="30" x14ac:dyDescent="0.25">
      <c r="A147" s="11" t="s">
        <v>135</v>
      </c>
      <c r="B147" s="6">
        <v>1600000</v>
      </c>
      <c r="C147" s="6">
        <v>1600000</v>
      </c>
      <c r="D147" s="6">
        <v>0</v>
      </c>
      <c r="E147" s="6">
        <v>1600000</v>
      </c>
      <c r="F147" s="6">
        <v>1600000</v>
      </c>
      <c r="G147" s="7">
        <v>1</v>
      </c>
      <c r="H147" s="10">
        <v>0</v>
      </c>
      <c r="I147" s="10">
        <v>1</v>
      </c>
      <c r="J147" s="10">
        <v>1</v>
      </c>
      <c r="K147" t="s">
        <v>40</v>
      </c>
    </row>
    <row r="148" spans="1:11" ht="30" x14ac:dyDescent="0.25">
      <c r="A148" s="11" t="s">
        <v>134</v>
      </c>
      <c r="B148" s="6">
        <v>583392</v>
      </c>
      <c r="C148" s="6">
        <v>583392</v>
      </c>
      <c r="D148" s="6">
        <v>0</v>
      </c>
      <c r="E148" s="6">
        <v>583392</v>
      </c>
      <c r="F148" s="6">
        <v>583392</v>
      </c>
      <c r="G148" s="7">
        <v>1</v>
      </c>
      <c r="H148" s="10">
        <v>1</v>
      </c>
      <c r="I148" s="10">
        <v>1</v>
      </c>
      <c r="J148" s="10">
        <v>1</v>
      </c>
      <c r="K148" t="s">
        <v>44</v>
      </c>
    </row>
    <row r="149" spans="1:11" ht="30" x14ac:dyDescent="0.25">
      <c r="A149" s="11" t="s">
        <v>133</v>
      </c>
      <c r="B149" s="6">
        <v>519834.7</v>
      </c>
      <c r="C149" s="6">
        <v>519834.7</v>
      </c>
      <c r="D149" s="6">
        <v>0</v>
      </c>
      <c r="E149" s="6">
        <v>513241.64</v>
      </c>
      <c r="F149" s="6">
        <v>513241.64</v>
      </c>
      <c r="G149" s="7">
        <v>0.98731700673310197</v>
      </c>
      <c r="H149" s="10">
        <v>0.98731700673310197</v>
      </c>
      <c r="I149" s="10">
        <v>0.98731700673310197</v>
      </c>
      <c r="J149" s="10">
        <v>1</v>
      </c>
      <c r="K149" t="s">
        <v>44</v>
      </c>
    </row>
    <row r="150" spans="1:11" ht="30" x14ac:dyDescent="0.25">
      <c r="A150" s="11" t="s">
        <v>132</v>
      </c>
      <c r="B150" s="6">
        <v>1000000</v>
      </c>
      <c r="C150" s="6">
        <v>1000000</v>
      </c>
      <c r="D150" s="6">
        <v>0</v>
      </c>
      <c r="E150" s="6">
        <v>1000000</v>
      </c>
      <c r="F150" s="6">
        <v>1000000</v>
      </c>
      <c r="G150" s="7">
        <v>1</v>
      </c>
      <c r="H150" s="10">
        <v>1</v>
      </c>
      <c r="I150" s="10">
        <v>1</v>
      </c>
      <c r="J150" s="10">
        <v>1</v>
      </c>
      <c r="K150" t="s">
        <v>44</v>
      </c>
    </row>
    <row r="151" spans="1:11" ht="30" x14ac:dyDescent="0.25">
      <c r="A151" s="11" t="s">
        <v>131</v>
      </c>
      <c r="B151" s="6">
        <v>1145095.33</v>
      </c>
      <c r="C151" s="6">
        <v>1145095.33</v>
      </c>
      <c r="D151" s="6">
        <v>0</v>
      </c>
      <c r="E151" s="6">
        <v>1145095.33</v>
      </c>
      <c r="F151" s="6">
        <v>1145095.33</v>
      </c>
      <c r="G151" s="7">
        <v>1</v>
      </c>
      <c r="H151" s="10">
        <v>1</v>
      </c>
      <c r="I151" s="10">
        <v>1</v>
      </c>
      <c r="J151" s="10">
        <v>1</v>
      </c>
      <c r="K151" t="s">
        <v>44</v>
      </c>
    </row>
    <row r="152" spans="1:11" ht="30" x14ac:dyDescent="0.25">
      <c r="A152" s="11" t="s">
        <v>130</v>
      </c>
      <c r="B152" s="6">
        <v>311555</v>
      </c>
      <c r="C152" s="6">
        <v>311555</v>
      </c>
      <c r="D152" s="6">
        <v>0</v>
      </c>
      <c r="E152" s="6">
        <v>311555</v>
      </c>
      <c r="F152" s="6">
        <v>311555</v>
      </c>
      <c r="G152" s="7">
        <v>1</v>
      </c>
      <c r="H152" s="10">
        <v>0</v>
      </c>
      <c r="I152" s="10">
        <v>1</v>
      </c>
      <c r="J152" s="10">
        <v>1</v>
      </c>
      <c r="K152" t="s">
        <v>45</v>
      </c>
    </row>
    <row r="153" spans="1:11" ht="30" x14ac:dyDescent="0.25">
      <c r="A153" s="11" t="s">
        <v>129</v>
      </c>
      <c r="B153" s="6">
        <v>57723.24</v>
      </c>
      <c r="C153" s="6">
        <v>57723.24</v>
      </c>
      <c r="D153" s="6">
        <v>0</v>
      </c>
      <c r="E153" s="6">
        <v>57723.24</v>
      </c>
      <c r="F153" s="6">
        <v>57723.24</v>
      </c>
      <c r="G153" s="7">
        <v>1</v>
      </c>
      <c r="H153" s="10">
        <v>1</v>
      </c>
      <c r="I153" s="10">
        <v>1</v>
      </c>
      <c r="J153" s="10">
        <v>1</v>
      </c>
      <c r="K153" t="s">
        <v>45</v>
      </c>
    </row>
    <row r="154" spans="1:11" ht="30" x14ac:dyDescent="0.25">
      <c r="A154" s="11" t="s">
        <v>128</v>
      </c>
      <c r="B154" s="6">
        <v>155000</v>
      </c>
      <c r="C154" s="6">
        <v>155000</v>
      </c>
      <c r="D154" s="6">
        <v>0</v>
      </c>
      <c r="E154" s="6">
        <v>155000</v>
      </c>
      <c r="F154" s="6">
        <v>155000</v>
      </c>
      <c r="G154" s="7">
        <v>1</v>
      </c>
      <c r="H154" s="10">
        <v>1</v>
      </c>
      <c r="I154" s="10">
        <v>1</v>
      </c>
      <c r="J154" s="10">
        <v>1</v>
      </c>
      <c r="K154" t="s">
        <v>45</v>
      </c>
    </row>
    <row r="155" spans="1:11" ht="45" x14ac:dyDescent="0.25">
      <c r="A155" s="11" t="s">
        <v>127</v>
      </c>
      <c r="B155" s="6">
        <v>354000</v>
      </c>
      <c r="C155" s="6">
        <v>354000</v>
      </c>
      <c r="D155" s="6">
        <v>0</v>
      </c>
      <c r="E155" s="6">
        <v>354000</v>
      </c>
      <c r="F155" s="6">
        <v>354000</v>
      </c>
      <c r="G155" s="7">
        <v>1</v>
      </c>
      <c r="H155" s="10">
        <v>1</v>
      </c>
      <c r="I155" s="10">
        <v>1</v>
      </c>
      <c r="J155" s="10">
        <v>1</v>
      </c>
      <c r="K155" t="s">
        <v>45</v>
      </c>
    </row>
    <row r="156" spans="1:11" ht="45" x14ac:dyDescent="0.25">
      <c r="A156" s="11" t="s">
        <v>126</v>
      </c>
      <c r="B156" s="6">
        <v>1020638</v>
      </c>
      <c r="C156" s="6">
        <v>1020638</v>
      </c>
      <c r="D156" s="6">
        <v>0</v>
      </c>
      <c r="E156" s="6">
        <v>1020638</v>
      </c>
      <c r="F156" s="6">
        <v>1020638</v>
      </c>
      <c r="G156" s="7">
        <v>1</v>
      </c>
      <c r="H156" s="10">
        <v>0</v>
      </c>
      <c r="I156" s="10">
        <v>1</v>
      </c>
      <c r="J156" s="10">
        <v>1</v>
      </c>
      <c r="K156" t="s">
        <v>45</v>
      </c>
    </row>
    <row r="157" spans="1:11" ht="30" x14ac:dyDescent="0.25">
      <c r="A157" s="11" t="s">
        <v>125</v>
      </c>
      <c r="B157" s="6">
        <v>200000</v>
      </c>
      <c r="C157" s="6">
        <v>200000</v>
      </c>
      <c r="D157" s="6">
        <v>0</v>
      </c>
      <c r="E157" s="6">
        <v>200000</v>
      </c>
      <c r="F157" s="6">
        <v>200000</v>
      </c>
      <c r="G157" s="7">
        <v>1</v>
      </c>
      <c r="H157" s="10">
        <v>1</v>
      </c>
      <c r="I157" s="10">
        <v>1</v>
      </c>
      <c r="J157" s="10">
        <v>1</v>
      </c>
      <c r="K157" t="s">
        <v>45</v>
      </c>
    </row>
    <row r="158" spans="1:11" ht="30" x14ac:dyDescent="0.25">
      <c r="A158" s="11" t="s">
        <v>124</v>
      </c>
      <c r="B158" s="6">
        <v>657083</v>
      </c>
      <c r="C158" s="6">
        <v>657083</v>
      </c>
      <c r="D158" s="6">
        <v>0</v>
      </c>
      <c r="E158" s="6">
        <v>657083</v>
      </c>
      <c r="F158" s="6">
        <v>657083</v>
      </c>
      <c r="G158" s="7">
        <v>1</v>
      </c>
      <c r="H158" s="10">
        <v>0</v>
      </c>
      <c r="I158" s="10">
        <v>1</v>
      </c>
      <c r="J158" s="10">
        <v>1</v>
      </c>
      <c r="K158" t="s">
        <v>38</v>
      </c>
    </row>
    <row r="159" spans="1:11" ht="30" x14ac:dyDescent="0.25">
      <c r="A159" s="11" t="s">
        <v>123</v>
      </c>
      <c r="B159" s="6">
        <v>522834</v>
      </c>
      <c r="C159" s="6">
        <v>522834</v>
      </c>
      <c r="D159" s="6">
        <v>0</v>
      </c>
      <c r="E159" s="6">
        <v>522834</v>
      </c>
      <c r="F159" s="6">
        <v>522834</v>
      </c>
      <c r="G159" s="7">
        <v>1</v>
      </c>
      <c r="H159" s="10">
        <v>1</v>
      </c>
      <c r="I159" s="10">
        <v>1</v>
      </c>
      <c r="J159" s="10">
        <v>1</v>
      </c>
      <c r="K159" t="s">
        <v>42</v>
      </c>
    </row>
    <row r="160" spans="1:11" ht="30" x14ac:dyDescent="0.25">
      <c r="A160" s="11" t="s">
        <v>122</v>
      </c>
      <c r="B160" s="6">
        <v>145258</v>
      </c>
      <c r="C160" s="6">
        <v>145258</v>
      </c>
      <c r="D160" s="6">
        <v>0</v>
      </c>
      <c r="E160" s="6">
        <v>145258</v>
      </c>
      <c r="F160" s="6">
        <v>145258</v>
      </c>
      <c r="G160" s="7">
        <v>1</v>
      </c>
      <c r="H160" s="10">
        <v>1</v>
      </c>
      <c r="I160" s="10">
        <v>1</v>
      </c>
      <c r="J160" s="10">
        <v>1</v>
      </c>
      <c r="K160" t="s">
        <v>42</v>
      </c>
    </row>
    <row r="161" spans="1:11" ht="45" x14ac:dyDescent="0.25">
      <c r="A161" s="11" t="s">
        <v>121</v>
      </c>
      <c r="B161" s="6">
        <v>526000</v>
      </c>
      <c r="C161" s="6">
        <v>526000</v>
      </c>
      <c r="D161" s="6">
        <v>0</v>
      </c>
      <c r="E161" s="6">
        <v>424800</v>
      </c>
      <c r="F161" s="6">
        <v>424800</v>
      </c>
      <c r="G161" s="7">
        <v>0.80760456273764303</v>
      </c>
      <c r="H161" s="10">
        <v>0.80760456273764303</v>
      </c>
      <c r="I161" s="10">
        <v>0.80760456273764303</v>
      </c>
      <c r="J161" s="10">
        <v>1</v>
      </c>
      <c r="K161" t="s">
        <v>42</v>
      </c>
    </row>
    <row r="162" spans="1:11" ht="45" x14ac:dyDescent="0.25">
      <c r="A162" s="11" t="s">
        <v>120</v>
      </c>
      <c r="B162" s="6">
        <v>258420</v>
      </c>
      <c r="C162" s="6">
        <v>258420</v>
      </c>
      <c r="D162" s="6">
        <v>0</v>
      </c>
      <c r="E162" s="6">
        <v>258420</v>
      </c>
      <c r="F162" s="6">
        <v>258420</v>
      </c>
      <c r="G162" s="7">
        <v>1</v>
      </c>
      <c r="H162" s="10">
        <v>1</v>
      </c>
      <c r="I162" s="10">
        <v>1</v>
      </c>
      <c r="J162" s="10">
        <v>1</v>
      </c>
      <c r="K162" t="s">
        <v>46</v>
      </c>
    </row>
    <row r="163" spans="1:11" ht="45" x14ac:dyDescent="0.25">
      <c r="A163" s="11" t="s">
        <v>119</v>
      </c>
      <c r="B163" s="6">
        <v>169900</v>
      </c>
      <c r="C163" s="6">
        <v>169900</v>
      </c>
      <c r="D163" s="6">
        <v>0</v>
      </c>
      <c r="E163" s="6">
        <v>169900</v>
      </c>
      <c r="F163" s="6">
        <v>169900</v>
      </c>
      <c r="G163" s="7">
        <v>1</v>
      </c>
      <c r="H163" s="10">
        <v>1</v>
      </c>
      <c r="I163" s="10">
        <v>1</v>
      </c>
      <c r="J163" s="10">
        <v>1</v>
      </c>
      <c r="K163" t="s">
        <v>40</v>
      </c>
    </row>
    <row r="164" spans="1:11" ht="75" x14ac:dyDescent="0.25">
      <c r="A164" s="11" t="s">
        <v>118</v>
      </c>
      <c r="B164" s="6">
        <v>173117.8</v>
      </c>
      <c r="C164" s="6">
        <v>200600</v>
      </c>
      <c r="D164" s="6">
        <v>0</v>
      </c>
      <c r="E164" s="6">
        <v>173117.8</v>
      </c>
      <c r="F164" s="6">
        <v>173117.8</v>
      </c>
      <c r="G164" s="7">
        <v>0.86299999999999999</v>
      </c>
      <c r="H164" s="10">
        <v>0</v>
      </c>
      <c r="I164" s="10">
        <v>1</v>
      </c>
      <c r="J164" s="10">
        <v>1</v>
      </c>
      <c r="K164" t="s">
        <v>39</v>
      </c>
    </row>
    <row r="165" spans="1:11" ht="45" x14ac:dyDescent="0.25">
      <c r="A165" s="11" t="s">
        <v>117</v>
      </c>
      <c r="B165" s="6">
        <v>184965</v>
      </c>
      <c r="C165" s="6">
        <v>240000</v>
      </c>
      <c r="D165" s="6">
        <v>0</v>
      </c>
      <c r="E165" s="6">
        <v>184965</v>
      </c>
      <c r="F165" s="6">
        <v>184965</v>
      </c>
      <c r="G165" s="7">
        <v>0.77068749999999997</v>
      </c>
      <c r="H165" s="10">
        <v>1</v>
      </c>
      <c r="I165" s="10">
        <v>1</v>
      </c>
      <c r="J165" s="10">
        <v>1</v>
      </c>
      <c r="K165" t="s">
        <v>39</v>
      </c>
    </row>
    <row r="166" spans="1:11" x14ac:dyDescent="0.25">
      <c r="A166" s="11" t="s">
        <v>116</v>
      </c>
      <c r="B166" s="6">
        <v>91115</v>
      </c>
      <c r="C166" s="6">
        <v>860000</v>
      </c>
      <c r="D166" s="6">
        <v>768885</v>
      </c>
      <c r="E166" s="6">
        <v>91115</v>
      </c>
      <c r="F166" s="6">
        <v>860000</v>
      </c>
      <c r="G166" s="7">
        <v>1</v>
      </c>
      <c r="H166" s="10">
        <v>0</v>
      </c>
      <c r="I166" s="10">
        <v>1</v>
      </c>
      <c r="J166" s="10">
        <v>1</v>
      </c>
      <c r="K166" t="s">
        <v>41</v>
      </c>
    </row>
    <row r="167" spans="1:11" x14ac:dyDescent="0.25">
      <c r="A167" s="11" t="s">
        <v>115</v>
      </c>
      <c r="B167" s="6">
        <v>2970523.76</v>
      </c>
      <c r="C167" s="6">
        <v>52864000</v>
      </c>
      <c r="D167" s="6">
        <v>2956279</v>
      </c>
      <c r="E167" s="6">
        <v>2970523.76</v>
      </c>
      <c r="F167" s="6">
        <v>5926802.7599999998</v>
      </c>
      <c r="G167" s="7">
        <v>0.112114156325666</v>
      </c>
      <c r="H167" s="10">
        <v>1</v>
      </c>
      <c r="I167" s="10">
        <v>1</v>
      </c>
      <c r="J167" s="10">
        <v>0.4</v>
      </c>
      <c r="K167" t="s">
        <v>43</v>
      </c>
    </row>
    <row r="168" spans="1:11" x14ac:dyDescent="0.25">
      <c r="A168" s="11" t="s">
        <v>114</v>
      </c>
      <c r="B168" s="6">
        <v>256112.31</v>
      </c>
      <c r="C168" s="6">
        <v>256112.31</v>
      </c>
      <c r="D168" s="6">
        <v>0</v>
      </c>
      <c r="E168" s="6">
        <v>256112.31</v>
      </c>
      <c r="F168" s="6">
        <v>256112.31</v>
      </c>
      <c r="G168" s="7">
        <v>1</v>
      </c>
      <c r="H168" s="10">
        <v>1</v>
      </c>
      <c r="I168" s="10">
        <v>1</v>
      </c>
      <c r="J168" s="10">
        <v>1</v>
      </c>
      <c r="K168" t="s">
        <v>45</v>
      </c>
    </row>
    <row r="169" spans="1:11" ht="60" x14ac:dyDescent="0.25">
      <c r="A169" s="11" t="s">
        <v>113</v>
      </c>
      <c r="B169" s="6">
        <v>455000</v>
      </c>
      <c r="C169" s="6">
        <v>455000</v>
      </c>
      <c r="D169" s="6">
        <v>0</v>
      </c>
      <c r="E169" s="6">
        <v>455000</v>
      </c>
      <c r="F169" s="6">
        <v>455000</v>
      </c>
      <c r="G169" s="7">
        <v>1</v>
      </c>
      <c r="H169" s="10">
        <v>1</v>
      </c>
      <c r="I169" s="10">
        <v>1</v>
      </c>
      <c r="J169" s="10">
        <v>1</v>
      </c>
      <c r="K169" t="s">
        <v>42</v>
      </c>
    </row>
    <row r="170" spans="1:11" ht="30" x14ac:dyDescent="0.25">
      <c r="A170" s="11" t="s">
        <v>112</v>
      </c>
      <c r="B170" s="6">
        <v>800000</v>
      </c>
      <c r="C170" s="6">
        <v>800000</v>
      </c>
      <c r="D170" s="6">
        <v>0</v>
      </c>
      <c r="E170" s="6">
        <v>800000</v>
      </c>
      <c r="F170" s="6">
        <v>800000</v>
      </c>
      <c r="G170" s="7">
        <v>1</v>
      </c>
      <c r="H170" s="10">
        <v>1</v>
      </c>
      <c r="I170" s="10">
        <v>1</v>
      </c>
      <c r="J170" s="10">
        <v>1</v>
      </c>
      <c r="K170" t="s">
        <v>42</v>
      </c>
    </row>
    <row r="171" spans="1:11" ht="45" x14ac:dyDescent="0.25">
      <c r="A171" s="11" t="s">
        <v>111</v>
      </c>
      <c r="B171" s="6">
        <v>673534</v>
      </c>
      <c r="C171" s="6">
        <v>673534</v>
      </c>
      <c r="D171" s="6">
        <v>0</v>
      </c>
      <c r="E171" s="6">
        <v>673534</v>
      </c>
      <c r="F171" s="6">
        <v>673534</v>
      </c>
      <c r="G171" s="7">
        <v>1</v>
      </c>
      <c r="H171" s="10">
        <v>1</v>
      </c>
      <c r="I171" s="10">
        <v>1</v>
      </c>
      <c r="J171" s="10">
        <v>1</v>
      </c>
      <c r="K171" t="s">
        <v>39</v>
      </c>
    </row>
    <row r="172" spans="1:11" ht="30" x14ac:dyDescent="0.25">
      <c r="A172" s="11" t="s">
        <v>110</v>
      </c>
      <c r="B172" s="6">
        <v>348797</v>
      </c>
      <c r="C172" s="6">
        <v>348797</v>
      </c>
      <c r="D172" s="6">
        <v>0</v>
      </c>
      <c r="E172" s="6">
        <v>348797</v>
      </c>
      <c r="F172" s="6">
        <v>348797</v>
      </c>
      <c r="G172" s="7">
        <v>1</v>
      </c>
      <c r="H172" s="10">
        <v>1</v>
      </c>
      <c r="I172" s="10">
        <v>1</v>
      </c>
      <c r="J172" s="10">
        <v>1</v>
      </c>
      <c r="K172" t="s">
        <v>39</v>
      </c>
    </row>
    <row r="173" spans="1:11" ht="30" x14ac:dyDescent="0.25">
      <c r="A173" s="11" t="s">
        <v>109</v>
      </c>
      <c r="B173" s="6">
        <v>15185</v>
      </c>
      <c r="C173" s="6">
        <v>15185</v>
      </c>
      <c r="D173" s="6">
        <v>0</v>
      </c>
      <c r="E173" s="6">
        <v>15185</v>
      </c>
      <c r="F173" s="6">
        <v>15185</v>
      </c>
      <c r="G173" s="7">
        <v>1</v>
      </c>
      <c r="H173" s="10">
        <v>0</v>
      </c>
      <c r="I173" s="10">
        <v>1</v>
      </c>
      <c r="J173" s="10">
        <v>1</v>
      </c>
      <c r="K173" t="s">
        <v>39</v>
      </c>
    </row>
    <row r="174" spans="1:11" ht="30" x14ac:dyDescent="0.25">
      <c r="A174" s="11" t="s">
        <v>108</v>
      </c>
      <c r="B174" s="6">
        <v>88500</v>
      </c>
      <c r="C174" s="6">
        <v>88500</v>
      </c>
      <c r="D174" s="6">
        <v>0</v>
      </c>
      <c r="E174" s="6">
        <v>88500</v>
      </c>
      <c r="F174" s="6">
        <v>88500</v>
      </c>
      <c r="G174" s="7">
        <v>1</v>
      </c>
      <c r="H174" s="10">
        <v>1</v>
      </c>
      <c r="I174" s="10">
        <v>1</v>
      </c>
      <c r="J174" s="10">
        <v>1</v>
      </c>
      <c r="K174" t="s">
        <v>39</v>
      </c>
    </row>
    <row r="175" spans="1:11" ht="30" x14ac:dyDescent="0.25">
      <c r="A175" s="11" t="s">
        <v>107</v>
      </c>
      <c r="B175" s="6">
        <v>79591</v>
      </c>
      <c r="C175" s="6">
        <v>79591</v>
      </c>
      <c r="D175" s="6">
        <v>0</v>
      </c>
      <c r="E175" s="6">
        <v>79591</v>
      </c>
      <c r="F175" s="6">
        <v>79591</v>
      </c>
      <c r="G175" s="7">
        <v>1</v>
      </c>
      <c r="H175" s="10">
        <v>0</v>
      </c>
      <c r="I175" s="10">
        <v>1</v>
      </c>
      <c r="J175" s="10">
        <v>1</v>
      </c>
      <c r="K175" t="s">
        <v>39</v>
      </c>
    </row>
    <row r="176" spans="1:11" ht="30" x14ac:dyDescent="0.25">
      <c r="A176" s="11" t="s">
        <v>106</v>
      </c>
      <c r="B176" s="6">
        <v>299714.09999999998</v>
      </c>
      <c r="C176" s="6">
        <v>299714.09999999998</v>
      </c>
      <c r="D176" s="6">
        <v>0</v>
      </c>
      <c r="E176" s="6">
        <v>299714.09999999998</v>
      </c>
      <c r="F176" s="6">
        <v>299714.09999999998</v>
      </c>
      <c r="G176" s="7">
        <v>1</v>
      </c>
      <c r="H176" s="10">
        <v>1</v>
      </c>
      <c r="I176" s="10">
        <v>1</v>
      </c>
      <c r="J176" s="10">
        <v>1</v>
      </c>
      <c r="K176" t="s">
        <v>39</v>
      </c>
    </row>
    <row r="177" spans="1:11" ht="30" x14ac:dyDescent="0.25">
      <c r="A177" s="11" t="s">
        <v>105</v>
      </c>
      <c r="B177" s="6">
        <v>98010</v>
      </c>
      <c r="C177" s="6">
        <v>98010</v>
      </c>
      <c r="D177" s="6">
        <v>0</v>
      </c>
      <c r="E177" s="6">
        <v>98010</v>
      </c>
      <c r="F177" s="6">
        <v>98010</v>
      </c>
      <c r="G177" s="7">
        <v>1</v>
      </c>
      <c r="H177" s="10">
        <v>0</v>
      </c>
      <c r="I177" s="10">
        <v>1</v>
      </c>
      <c r="J177" s="10">
        <v>1</v>
      </c>
      <c r="K177" t="s">
        <v>45</v>
      </c>
    </row>
    <row r="178" spans="1:11" x14ac:dyDescent="0.25">
      <c r="A178" s="11" t="s">
        <v>104</v>
      </c>
      <c r="B178" s="6">
        <v>150000</v>
      </c>
      <c r="C178" s="6">
        <v>150000</v>
      </c>
      <c r="D178" s="6">
        <v>0</v>
      </c>
      <c r="E178" s="6">
        <v>150000</v>
      </c>
      <c r="F178" s="6">
        <v>150000</v>
      </c>
      <c r="G178" s="7">
        <v>1</v>
      </c>
      <c r="H178" s="10">
        <v>1</v>
      </c>
      <c r="I178" s="10">
        <v>1</v>
      </c>
      <c r="J178" s="10">
        <v>1</v>
      </c>
      <c r="K178" t="s">
        <v>40</v>
      </c>
    </row>
    <row r="179" spans="1:11" ht="30" x14ac:dyDescent="0.25">
      <c r="A179" s="11" t="s">
        <v>103</v>
      </c>
      <c r="B179" s="6">
        <v>5900000</v>
      </c>
      <c r="C179" s="6">
        <v>5900000</v>
      </c>
      <c r="D179" s="6">
        <v>0</v>
      </c>
      <c r="E179" s="6">
        <v>5900000</v>
      </c>
      <c r="F179" s="6">
        <v>5900000</v>
      </c>
      <c r="G179" s="7">
        <v>1</v>
      </c>
      <c r="H179" s="10">
        <v>1</v>
      </c>
      <c r="I179" s="10">
        <v>1</v>
      </c>
      <c r="J179" s="10">
        <v>1</v>
      </c>
      <c r="K179" t="s">
        <v>40</v>
      </c>
    </row>
    <row r="180" spans="1:11" ht="45" x14ac:dyDescent="0.25">
      <c r="A180" s="11" t="s">
        <v>102</v>
      </c>
      <c r="B180" s="6">
        <v>1578861</v>
      </c>
      <c r="C180" s="6">
        <v>1578861</v>
      </c>
      <c r="D180" s="6">
        <v>0</v>
      </c>
      <c r="E180" s="6">
        <v>1578861</v>
      </c>
      <c r="F180" s="6">
        <v>1578861</v>
      </c>
      <c r="G180" s="7">
        <v>1</v>
      </c>
      <c r="H180" s="10">
        <v>1</v>
      </c>
      <c r="I180" s="10">
        <v>1</v>
      </c>
      <c r="J180" s="10">
        <v>1</v>
      </c>
      <c r="K180" t="s">
        <v>40</v>
      </c>
    </row>
    <row r="181" spans="1:11" ht="30" x14ac:dyDescent="0.25">
      <c r="A181" s="11" t="s">
        <v>101</v>
      </c>
      <c r="B181" s="6">
        <v>215007</v>
      </c>
      <c r="C181" s="6">
        <v>215007</v>
      </c>
      <c r="D181" s="6">
        <v>0</v>
      </c>
      <c r="E181" s="6">
        <v>209579.8</v>
      </c>
      <c r="F181" s="6">
        <v>209579.8</v>
      </c>
      <c r="G181" s="7">
        <v>0.97475803113387005</v>
      </c>
      <c r="H181" s="10">
        <v>0.97475803113387005</v>
      </c>
      <c r="I181" s="10">
        <v>0.97475803113387005</v>
      </c>
      <c r="J181" s="10">
        <v>1</v>
      </c>
      <c r="K181" t="s">
        <v>45</v>
      </c>
    </row>
    <row r="182" spans="1:11" ht="30" x14ac:dyDescent="0.25">
      <c r="A182" s="11" t="s">
        <v>100</v>
      </c>
      <c r="B182" s="6">
        <v>346448</v>
      </c>
      <c r="C182" s="6">
        <v>346448</v>
      </c>
      <c r="D182" s="6">
        <v>0</v>
      </c>
      <c r="E182" s="6">
        <v>346448</v>
      </c>
      <c r="F182" s="6">
        <v>346448</v>
      </c>
      <c r="G182" s="7">
        <v>1</v>
      </c>
      <c r="H182" s="10">
        <v>0</v>
      </c>
      <c r="I182" s="10">
        <v>1</v>
      </c>
      <c r="J182" s="10">
        <v>1</v>
      </c>
      <c r="K182" t="s">
        <v>45</v>
      </c>
    </row>
    <row r="183" spans="1:11" ht="30" x14ac:dyDescent="0.25">
      <c r="A183" s="11" t="s">
        <v>99</v>
      </c>
      <c r="B183" s="6">
        <v>140381.06</v>
      </c>
      <c r="C183" s="6">
        <v>140381.06</v>
      </c>
      <c r="D183" s="6">
        <v>0</v>
      </c>
      <c r="E183" s="6">
        <v>140031.54</v>
      </c>
      <c r="F183" s="6">
        <v>140031.54</v>
      </c>
      <c r="G183" s="7">
        <v>0.99751020543654501</v>
      </c>
      <c r="H183" s="10">
        <v>0</v>
      </c>
      <c r="I183" s="10">
        <v>0.99751020543654501</v>
      </c>
      <c r="J183" s="10">
        <v>1</v>
      </c>
      <c r="K183" t="s">
        <v>45</v>
      </c>
    </row>
    <row r="184" spans="1:11" ht="30" x14ac:dyDescent="0.25">
      <c r="A184" s="11" t="s">
        <v>98</v>
      </c>
      <c r="B184" s="6">
        <v>40384</v>
      </c>
      <c r="C184" s="6">
        <v>40384</v>
      </c>
      <c r="D184" s="6">
        <v>0</v>
      </c>
      <c r="E184" s="6">
        <v>40384</v>
      </c>
      <c r="F184" s="6">
        <v>40384</v>
      </c>
      <c r="G184" s="7">
        <v>1</v>
      </c>
      <c r="H184" s="10">
        <v>0</v>
      </c>
      <c r="I184" s="10">
        <v>1</v>
      </c>
      <c r="J184" s="10">
        <v>1</v>
      </c>
      <c r="K184" t="s">
        <v>45</v>
      </c>
    </row>
    <row r="185" spans="1:11" x14ac:dyDescent="0.25">
      <c r="A185" s="11"/>
      <c r="B185" s="6">
        <f>SUBTOTAL(109,Table110[Toplam Yıl Ödeneği])</f>
        <v>152888457.84999999</v>
      </c>
      <c r="C185" s="6">
        <f>SUBTOTAL(109,Table110[Toplam Proje Tutarı])</f>
        <v>204276316.29000002</v>
      </c>
      <c r="D185" s="6">
        <f>SUBTOTAL(109,Table110[Önceki Yıllar Toplam Harcaması])</f>
        <v>4029899</v>
      </c>
      <c r="E185" s="6">
        <f>SUBTOTAL(109,Table110[Yılı Harcama Tutarı])</f>
        <v>146358921.90999997</v>
      </c>
      <c r="F185" s="6">
        <f>SUBTOTAL(109,Table110[Toplam Harcama Tutarı])</f>
        <v>150388820.90999997</v>
      </c>
    </row>
  </sheetData>
  <mergeCells count="1">
    <mergeCell ref="A1:K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49-30B6-4014-9390-6BF982AE0514}">
  <dimension ref="A1:L44"/>
  <sheetViews>
    <sheetView workbookViewId="0">
      <selection activeCell="M13" sqref="M13"/>
    </sheetView>
  </sheetViews>
  <sheetFormatPr defaultRowHeight="15" x14ac:dyDescent="0.25"/>
  <cols>
    <col min="1" max="1" width="38.7109375" customWidth="1"/>
    <col min="2" max="2" width="12" customWidth="1"/>
    <col min="3" max="3" width="12.42578125" customWidth="1"/>
    <col min="4" max="4" width="12.85546875" customWidth="1"/>
    <col min="5" max="6" width="12" customWidth="1"/>
  </cols>
  <sheetData>
    <row r="1" spans="1:12" x14ac:dyDescent="0.25">
      <c r="A1" s="14" t="s">
        <v>321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ht="75" x14ac:dyDescent="0.25">
      <c r="A2" s="11" t="s">
        <v>85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96</v>
      </c>
    </row>
    <row r="3" spans="1:12" ht="45" x14ac:dyDescent="0.25">
      <c r="A3" s="11" t="s">
        <v>320</v>
      </c>
      <c r="B3" s="6">
        <v>1</v>
      </c>
      <c r="C3" s="6">
        <v>2000000</v>
      </c>
      <c r="D3" s="6">
        <v>0</v>
      </c>
      <c r="E3" s="6">
        <v>0</v>
      </c>
      <c r="F3" s="6">
        <v>0</v>
      </c>
      <c r="G3" s="7">
        <v>0</v>
      </c>
      <c r="H3" s="10">
        <v>0</v>
      </c>
      <c r="I3" s="10">
        <v>0</v>
      </c>
      <c r="J3" s="10">
        <v>0</v>
      </c>
      <c r="K3" t="s">
        <v>39</v>
      </c>
    </row>
    <row r="4" spans="1:12" x14ac:dyDescent="0.25">
      <c r="A4" s="11" t="s">
        <v>319</v>
      </c>
      <c r="B4" s="6">
        <v>29433000</v>
      </c>
      <c r="C4" s="6">
        <v>229529544</v>
      </c>
      <c r="D4" s="6">
        <v>21498876</v>
      </c>
      <c r="E4" s="6">
        <v>29432844</v>
      </c>
      <c r="F4" s="6">
        <v>50931720</v>
      </c>
      <c r="G4" s="7">
        <v>0.221896140742562</v>
      </c>
      <c r="H4" s="10">
        <v>0.59184116467910197</v>
      </c>
      <c r="I4" s="10">
        <v>0.99999469982672495</v>
      </c>
      <c r="J4" s="10">
        <v>0.3</v>
      </c>
      <c r="K4" t="s">
        <v>39</v>
      </c>
    </row>
    <row r="5" spans="1:12" x14ac:dyDescent="0.25">
      <c r="A5" s="11" t="s">
        <v>318</v>
      </c>
      <c r="B5" s="6">
        <v>0</v>
      </c>
      <c r="C5" s="6">
        <v>25000000</v>
      </c>
      <c r="D5" s="6">
        <v>0</v>
      </c>
      <c r="E5" s="6">
        <v>0</v>
      </c>
      <c r="F5" s="6">
        <v>0</v>
      </c>
      <c r="G5" s="7">
        <v>0</v>
      </c>
      <c r="H5" s="10">
        <v>0</v>
      </c>
      <c r="I5" s="10">
        <v>0</v>
      </c>
      <c r="J5" s="10">
        <v>0</v>
      </c>
      <c r="K5" t="s">
        <v>39</v>
      </c>
    </row>
    <row r="6" spans="1:12" x14ac:dyDescent="0.25">
      <c r="A6" s="11" t="s">
        <v>317</v>
      </c>
      <c r="B6" s="6">
        <v>7499940</v>
      </c>
      <c r="C6" s="6">
        <v>112376340</v>
      </c>
      <c r="D6" s="6">
        <v>10209402</v>
      </c>
      <c r="E6" s="6">
        <v>7499923</v>
      </c>
      <c r="F6" s="6">
        <v>17709325</v>
      </c>
      <c r="G6" s="7">
        <v>0.15758944453966001</v>
      </c>
      <c r="H6" s="10">
        <v>0.70250588671376002</v>
      </c>
      <c r="I6" s="10">
        <v>0.99999773331520003</v>
      </c>
      <c r="J6" s="10">
        <v>0.3</v>
      </c>
      <c r="K6" t="s">
        <v>309</v>
      </c>
    </row>
    <row r="7" spans="1:12" x14ac:dyDescent="0.25">
      <c r="A7" s="11" t="s">
        <v>316</v>
      </c>
      <c r="B7" s="6">
        <v>19519238</v>
      </c>
      <c r="C7" s="6">
        <v>151241611</v>
      </c>
      <c r="D7" s="6">
        <v>6250099</v>
      </c>
      <c r="E7" s="6">
        <v>19519237</v>
      </c>
      <c r="F7" s="6">
        <v>25769336</v>
      </c>
      <c r="G7" s="7">
        <v>0.170385225531616</v>
      </c>
      <c r="H7" s="10">
        <v>0.52401138814947601</v>
      </c>
      <c r="I7" s="10">
        <v>0.99999994876849196</v>
      </c>
      <c r="J7" s="10">
        <v>0.28000000000000003</v>
      </c>
      <c r="K7" t="s">
        <v>309</v>
      </c>
    </row>
    <row r="8" spans="1:12" ht="30" x14ac:dyDescent="0.25">
      <c r="A8" s="11" t="s">
        <v>315</v>
      </c>
      <c r="B8" s="6">
        <v>590337</v>
      </c>
      <c r="C8" s="6">
        <v>8056084</v>
      </c>
      <c r="D8" s="6">
        <v>914908</v>
      </c>
      <c r="E8" s="6">
        <v>590336</v>
      </c>
      <c r="F8" s="6">
        <v>1505244</v>
      </c>
      <c r="G8" s="7">
        <v>0.186845618789476</v>
      </c>
      <c r="H8" s="10">
        <v>0</v>
      </c>
      <c r="I8" s="10">
        <v>0.999998306052306</v>
      </c>
      <c r="J8" s="10">
        <v>0.35</v>
      </c>
      <c r="K8" t="s">
        <v>46</v>
      </c>
    </row>
    <row r="9" spans="1:12" ht="45" x14ac:dyDescent="0.25">
      <c r="A9" s="11" t="s">
        <v>314</v>
      </c>
      <c r="B9" s="6">
        <v>196164</v>
      </c>
      <c r="C9" s="6">
        <v>40630620</v>
      </c>
      <c r="D9" s="6">
        <v>871689</v>
      </c>
      <c r="E9" s="6">
        <v>196163</v>
      </c>
      <c r="F9" s="6">
        <v>1067852</v>
      </c>
      <c r="G9" s="7">
        <v>2.6281951887517301E-2</v>
      </c>
      <c r="H9" s="10">
        <v>0</v>
      </c>
      <c r="I9" s="10">
        <v>0.99999490222466902</v>
      </c>
      <c r="J9" s="10">
        <v>0.97</v>
      </c>
      <c r="K9" t="s">
        <v>39</v>
      </c>
    </row>
    <row r="10" spans="1:12" ht="30" x14ac:dyDescent="0.25">
      <c r="A10" s="11" t="s">
        <v>313</v>
      </c>
      <c r="B10" s="6">
        <v>0</v>
      </c>
      <c r="C10" s="6">
        <v>23456558</v>
      </c>
      <c r="D10" s="6">
        <v>0</v>
      </c>
      <c r="E10" s="6">
        <v>0</v>
      </c>
      <c r="F10" s="6">
        <v>0</v>
      </c>
      <c r="G10" s="7">
        <v>0</v>
      </c>
      <c r="H10" s="10">
        <v>0</v>
      </c>
      <c r="I10" s="10">
        <v>0</v>
      </c>
      <c r="J10" s="10">
        <v>0</v>
      </c>
      <c r="K10" t="s">
        <v>39</v>
      </c>
    </row>
    <row r="11" spans="1:12" ht="30" x14ac:dyDescent="0.25">
      <c r="A11" s="11" t="s">
        <v>312</v>
      </c>
      <c r="B11" s="6">
        <v>0</v>
      </c>
      <c r="C11" s="6">
        <v>30000000</v>
      </c>
      <c r="D11" s="6">
        <v>0</v>
      </c>
      <c r="E11" s="6">
        <v>0</v>
      </c>
      <c r="F11" s="6">
        <v>0</v>
      </c>
      <c r="G11" s="7">
        <v>0</v>
      </c>
      <c r="H11" s="10">
        <v>0</v>
      </c>
      <c r="I11" s="10">
        <v>0</v>
      </c>
      <c r="J11" s="10">
        <v>0</v>
      </c>
      <c r="K11" t="s">
        <v>309</v>
      </c>
    </row>
    <row r="12" spans="1:12" ht="75" x14ac:dyDescent="0.25">
      <c r="A12" s="11" t="s">
        <v>311</v>
      </c>
      <c r="B12" s="6">
        <v>895272</v>
      </c>
      <c r="C12" s="6">
        <v>6852871</v>
      </c>
      <c r="D12" s="6">
        <v>2395223</v>
      </c>
      <c r="E12" s="6">
        <v>895272</v>
      </c>
      <c r="F12" s="6">
        <v>3290495</v>
      </c>
      <c r="G12" s="7">
        <v>0.48016298570336402</v>
      </c>
      <c r="H12" s="10">
        <v>0.35733944544227902</v>
      </c>
      <c r="I12" s="10">
        <v>1</v>
      </c>
      <c r="J12" s="10">
        <v>0.77</v>
      </c>
      <c r="K12" t="s">
        <v>309</v>
      </c>
    </row>
    <row r="13" spans="1:12" ht="45" x14ac:dyDescent="0.25">
      <c r="A13" s="11" t="s">
        <v>310</v>
      </c>
      <c r="B13" s="6">
        <v>169226</v>
      </c>
      <c r="C13" s="6">
        <v>2740135</v>
      </c>
      <c r="D13" s="6">
        <v>486462</v>
      </c>
      <c r="E13" s="6">
        <v>169225</v>
      </c>
      <c r="F13" s="6">
        <v>655687</v>
      </c>
      <c r="G13" s="7">
        <v>0.23929003498002799</v>
      </c>
      <c r="H13" s="10">
        <v>0</v>
      </c>
      <c r="I13" s="10">
        <v>0.99999409074255696</v>
      </c>
      <c r="J13" s="10">
        <v>0.56000000000000005</v>
      </c>
      <c r="K13" t="s">
        <v>309</v>
      </c>
    </row>
    <row r="14" spans="1:12" ht="30" x14ac:dyDescent="0.25">
      <c r="A14" s="11" t="s">
        <v>308</v>
      </c>
      <c r="B14" s="6">
        <v>1</v>
      </c>
      <c r="C14" s="6">
        <v>500000</v>
      </c>
      <c r="D14" s="6">
        <v>0</v>
      </c>
      <c r="E14" s="6">
        <v>0</v>
      </c>
      <c r="F14" s="6">
        <v>0</v>
      </c>
      <c r="G14" s="7">
        <v>0</v>
      </c>
      <c r="H14" s="10">
        <v>0</v>
      </c>
      <c r="I14" s="10">
        <v>0</v>
      </c>
      <c r="J14" s="10">
        <v>0</v>
      </c>
      <c r="K14" t="s">
        <v>39</v>
      </c>
    </row>
    <row r="15" spans="1:12" ht="45" x14ac:dyDescent="0.25">
      <c r="A15" s="11" t="s">
        <v>307</v>
      </c>
      <c r="B15" s="6">
        <v>1</v>
      </c>
      <c r="C15" s="6">
        <v>130000</v>
      </c>
      <c r="D15" s="6">
        <v>0</v>
      </c>
      <c r="E15" s="6">
        <v>0</v>
      </c>
      <c r="F15" s="6">
        <v>0</v>
      </c>
      <c r="G15" s="7">
        <v>0</v>
      </c>
      <c r="H15" s="10">
        <v>0</v>
      </c>
      <c r="I15" s="10">
        <v>0</v>
      </c>
      <c r="J15" s="10">
        <v>0</v>
      </c>
      <c r="K15" t="s">
        <v>39</v>
      </c>
    </row>
    <row r="16" spans="1:12" ht="45" x14ac:dyDescent="0.25">
      <c r="A16" s="11" t="s">
        <v>306</v>
      </c>
      <c r="B16" s="6">
        <v>1466637</v>
      </c>
      <c r="C16" s="6">
        <v>9948355</v>
      </c>
      <c r="D16" s="6">
        <v>1899259</v>
      </c>
      <c r="E16" s="6">
        <v>1466636</v>
      </c>
      <c r="F16" s="6">
        <v>3365895</v>
      </c>
      <c r="G16" s="7">
        <v>0.33833684061334801</v>
      </c>
      <c r="H16" s="10">
        <v>0.55181275257613205</v>
      </c>
      <c r="I16" s="10">
        <v>0.99999931816802701</v>
      </c>
      <c r="J16" s="10">
        <v>1</v>
      </c>
      <c r="K16" t="s">
        <v>43</v>
      </c>
    </row>
    <row r="17" spans="1:11" ht="45" x14ac:dyDescent="0.25">
      <c r="A17" s="11" t="s">
        <v>305</v>
      </c>
      <c r="B17" s="6">
        <v>0</v>
      </c>
      <c r="C17" s="6">
        <v>5000000</v>
      </c>
      <c r="D17" s="6">
        <v>0</v>
      </c>
      <c r="E17" s="6">
        <v>0</v>
      </c>
      <c r="F17" s="6">
        <v>0</v>
      </c>
      <c r="G17" s="7">
        <v>0</v>
      </c>
      <c r="H17" s="10">
        <v>0</v>
      </c>
      <c r="I17" s="10">
        <v>0</v>
      </c>
      <c r="J17" s="10">
        <v>0</v>
      </c>
      <c r="K17" t="s">
        <v>42</v>
      </c>
    </row>
    <row r="18" spans="1:11" ht="30" x14ac:dyDescent="0.25">
      <c r="A18" s="11" t="s">
        <v>304</v>
      </c>
      <c r="B18" s="6">
        <v>1</v>
      </c>
      <c r="C18" s="6">
        <v>94000000</v>
      </c>
      <c r="D18" s="6">
        <v>0</v>
      </c>
      <c r="E18" s="6">
        <v>0</v>
      </c>
      <c r="F18" s="6">
        <v>0</v>
      </c>
      <c r="G18" s="7">
        <v>0</v>
      </c>
      <c r="H18" s="10">
        <v>0</v>
      </c>
      <c r="I18" s="10">
        <v>0</v>
      </c>
      <c r="J18" s="10">
        <v>0</v>
      </c>
      <c r="K18" t="s">
        <v>42</v>
      </c>
    </row>
    <row r="19" spans="1:11" x14ac:dyDescent="0.25">
      <c r="A19" s="11" t="s">
        <v>303</v>
      </c>
      <c r="B19" s="6">
        <v>372756</v>
      </c>
      <c r="C19" s="6">
        <v>87144074</v>
      </c>
      <c r="D19" s="6">
        <v>3806378</v>
      </c>
      <c r="E19" s="6">
        <v>372755</v>
      </c>
      <c r="F19" s="6">
        <v>4179133</v>
      </c>
      <c r="G19" s="7">
        <v>4.7956594271688503E-2</v>
      </c>
      <c r="H19" s="10">
        <v>0.99999731727993602</v>
      </c>
      <c r="I19" s="10">
        <v>0.99999731727993602</v>
      </c>
      <c r="J19" s="10">
        <v>0.22</v>
      </c>
      <c r="K19" t="s">
        <v>42</v>
      </c>
    </row>
    <row r="20" spans="1:11" ht="30" x14ac:dyDescent="0.25">
      <c r="A20" s="11" t="s">
        <v>302</v>
      </c>
      <c r="B20" s="6">
        <v>2</v>
      </c>
      <c r="C20" s="6">
        <v>17786991</v>
      </c>
      <c r="D20" s="6">
        <v>0</v>
      </c>
      <c r="E20" s="6">
        <v>0</v>
      </c>
      <c r="F20" s="6">
        <v>0</v>
      </c>
      <c r="G20" s="7">
        <v>0</v>
      </c>
      <c r="H20" s="10">
        <v>0</v>
      </c>
      <c r="I20" s="10">
        <v>0</v>
      </c>
      <c r="J20" s="10">
        <v>0</v>
      </c>
      <c r="K20" t="s">
        <v>42</v>
      </c>
    </row>
    <row r="21" spans="1:11" ht="30" x14ac:dyDescent="0.25">
      <c r="A21" s="11" t="s">
        <v>301</v>
      </c>
      <c r="B21" s="6">
        <v>0</v>
      </c>
      <c r="C21" s="6">
        <v>66017800</v>
      </c>
      <c r="D21" s="6">
        <v>0</v>
      </c>
      <c r="E21" s="6">
        <v>0</v>
      </c>
      <c r="F21" s="6">
        <v>0</v>
      </c>
      <c r="G21" s="7">
        <v>0</v>
      </c>
      <c r="H21" s="10">
        <v>0</v>
      </c>
      <c r="I21" s="10">
        <v>0</v>
      </c>
      <c r="J21" s="10">
        <v>0</v>
      </c>
      <c r="K21" t="s">
        <v>42</v>
      </c>
    </row>
    <row r="22" spans="1:11" ht="30" x14ac:dyDescent="0.25">
      <c r="A22" s="11" t="s">
        <v>300</v>
      </c>
      <c r="B22" s="6">
        <v>0</v>
      </c>
      <c r="C22" s="6">
        <v>85000000</v>
      </c>
      <c r="D22" s="6">
        <v>0</v>
      </c>
      <c r="E22" s="6">
        <v>0</v>
      </c>
      <c r="F22" s="6">
        <v>0</v>
      </c>
      <c r="G22" s="7">
        <v>0</v>
      </c>
      <c r="H22" s="10">
        <v>0</v>
      </c>
      <c r="I22" s="10">
        <v>0</v>
      </c>
      <c r="J22" s="10">
        <v>0</v>
      </c>
      <c r="K22" t="s">
        <v>42</v>
      </c>
    </row>
    <row r="23" spans="1:11" x14ac:dyDescent="0.25">
      <c r="A23" s="11" t="s">
        <v>299</v>
      </c>
      <c r="B23" s="6">
        <v>12897512</v>
      </c>
      <c r="C23" s="6">
        <v>30144671</v>
      </c>
      <c r="D23" s="6">
        <v>4955388</v>
      </c>
      <c r="E23" s="6">
        <v>12897511</v>
      </c>
      <c r="F23" s="6">
        <v>17852899</v>
      </c>
      <c r="G23" s="7">
        <v>0.59224063185164599</v>
      </c>
      <c r="H23" s="10">
        <v>0.76739901463165905</v>
      </c>
      <c r="I23" s="10">
        <v>0.99999992246566605</v>
      </c>
      <c r="J23" s="10">
        <v>0.7</v>
      </c>
      <c r="K23" t="s">
        <v>42</v>
      </c>
    </row>
    <row r="24" spans="1:11" ht="30" x14ac:dyDescent="0.25">
      <c r="A24" s="11" t="s">
        <v>298</v>
      </c>
      <c r="B24" s="6">
        <v>2</v>
      </c>
      <c r="C24" s="6">
        <v>7774255</v>
      </c>
      <c r="D24" s="6">
        <v>0</v>
      </c>
      <c r="E24" s="6">
        <v>0</v>
      </c>
      <c r="F24" s="6">
        <v>0</v>
      </c>
      <c r="G24" s="7">
        <v>0</v>
      </c>
      <c r="H24" s="10">
        <v>0</v>
      </c>
      <c r="I24" s="10">
        <v>0</v>
      </c>
      <c r="J24" s="10">
        <v>0</v>
      </c>
      <c r="K24" t="s">
        <v>42</v>
      </c>
    </row>
    <row r="25" spans="1:11" x14ac:dyDescent="0.25">
      <c r="A25" s="11" t="s">
        <v>297</v>
      </c>
      <c r="B25" s="6">
        <v>464746</v>
      </c>
      <c r="C25" s="6">
        <v>29369561</v>
      </c>
      <c r="D25" s="6">
        <v>10809237</v>
      </c>
      <c r="E25" s="6">
        <v>464746</v>
      </c>
      <c r="F25" s="6">
        <v>11273983</v>
      </c>
      <c r="G25" s="7">
        <v>0.38386624165066702</v>
      </c>
      <c r="H25" s="10">
        <v>1</v>
      </c>
      <c r="I25" s="10">
        <v>1</v>
      </c>
      <c r="J25" s="10">
        <v>0.66</v>
      </c>
      <c r="K25" t="s">
        <v>39</v>
      </c>
    </row>
    <row r="26" spans="1:11" ht="30" x14ac:dyDescent="0.25">
      <c r="A26" s="11" t="s">
        <v>296</v>
      </c>
      <c r="B26" s="6">
        <v>2</v>
      </c>
      <c r="C26" s="6">
        <v>12264722</v>
      </c>
      <c r="D26" s="6">
        <v>0</v>
      </c>
      <c r="E26" s="6">
        <v>0</v>
      </c>
      <c r="F26" s="6">
        <v>0</v>
      </c>
      <c r="G26" s="7">
        <v>0</v>
      </c>
      <c r="H26" s="10">
        <v>0</v>
      </c>
      <c r="I26" s="10">
        <v>0</v>
      </c>
      <c r="J26" s="10">
        <v>0</v>
      </c>
      <c r="K26" t="s">
        <v>39</v>
      </c>
    </row>
    <row r="27" spans="1:11" x14ac:dyDescent="0.25">
      <c r="A27" s="11" t="s">
        <v>295</v>
      </c>
      <c r="B27" s="6">
        <v>1769088</v>
      </c>
      <c r="C27" s="6">
        <v>1965537</v>
      </c>
      <c r="D27" s="6">
        <v>0</v>
      </c>
      <c r="E27" s="6">
        <v>1769087</v>
      </c>
      <c r="F27" s="6">
        <v>1769087</v>
      </c>
      <c r="G27" s="7">
        <v>0.90005275911875504</v>
      </c>
      <c r="H27" s="10">
        <v>0.99999943473699404</v>
      </c>
      <c r="I27" s="10">
        <v>0.99999943473699404</v>
      </c>
      <c r="J27" s="10">
        <v>0.89</v>
      </c>
      <c r="K27" t="s">
        <v>39</v>
      </c>
    </row>
    <row r="28" spans="1:11" ht="30" x14ac:dyDescent="0.25">
      <c r="A28" s="11" t="s">
        <v>294</v>
      </c>
      <c r="B28" s="6">
        <v>0</v>
      </c>
      <c r="C28" s="6">
        <v>8000000</v>
      </c>
      <c r="D28" s="6">
        <v>0</v>
      </c>
      <c r="E28" s="6">
        <v>0</v>
      </c>
      <c r="F28" s="6">
        <v>0</v>
      </c>
      <c r="G28" s="7">
        <v>0</v>
      </c>
      <c r="H28" s="10">
        <v>0</v>
      </c>
      <c r="I28" s="10">
        <v>0</v>
      </c>
      <c r="J28" s="10">
        <v>0</v>
      </c>
      <c r="K28" t="s">
        <v>46</v>
      </c>
    </row>
    <row r="29" spans="1:11" ht="45" x14ac:dyDescent="0.25">
      <c r="A29" s="11" t="s">
        <v>293</v>
      </c>
      <c r="B29" s="6">
        <v>58036</v>
      </c>
      <c r="C29" s="6">
        <v>14193414</v>
      </c>
      <c r="D29" s="6">
        <v>165362</v>
      </c>
      <c r="E29" s="6">
        <v>58035</v>
      </c>
      <c r="F29" s="6">
        <v>223397</v>
      </c>
      <c r="G29" s="7">
        <v>1.5739483115197E-2</v>
      </c>
      <c r="H29" s="10">
        <v>0.95754359363153896</v>
      </c>
      <c r="I29" s="10">
        <v>0.99998276931559704</v>
      </c>
      <c r="J29" s="10">
        <v>0.05</v>
      </c>
      <c r="K29" t="s">
        <v>40</v>
      </c>
    </row>
    <row r="30" spans="1:11" ht="45" x14ac:dyDescent="0.25">
      <c r="A30" s="11" t="s">
        <v>292</v>
      </c>
      <c r="B30" s="6">
        <v>0</v>
      </c>
      <c r="C30" s="6">
        <v>18000000</v>
      </c>
      <c r="D30" s="6">
        <v>0</v>
      </c>
      <c r="E30" s="6">
        <v>0</v>
      </c>
      <c r="F30" s="6">
        <v>0</v>
      </c>
      <c r="G30" s="7">
        <v>0</v>
      </c>
      <c r="H30" s="10">
        <v>0</v>
      </c>
      <c r="I30" s="10">
        <v>0</v>
      </c>
      <c r="J30" s="10">
        <v>0</v>
      </c>
      <c r="K30" t="s">
        <v>40</v>
      </c>
    </row>
    <row r="31" spans="1:11" x14ac:dyDescent="0.25">
      <c r="A31" s="11" t="s">
        <v>291</v>
      </c>
      <c r="B31" s="6">
        <v>6556605</v>
      </c>
      <c r="C31" s="6">
        <v>82797637</v>
      </c>
      <c r="D31" s="6">
        <v>413128</v>
      </c>
      <c r="E31" s="6">
        <v>6556599</v>
      </c>
      <c r="F31" s="6">
        <v>6969727</v>
      </c>
      <c r="G31" s="7">
        <v>8.4177849181855294E-2</v>
      </c>
      <c r="H31" s="10">
        <v>0.54384761625871902</v>
      </c>
      <c r="I31" s="10">
        <v>0.99999908489225797</v>
      </c>
      <c r="J31" s="10">
        <v>0.09</v>
      </c>
      <c r="K31" t="s">
        <v>40</v>
      </c>
    </row>
    <row r="32" spans="1:11" ht="30" x14ac:dyDescent="0.25">
      <c r="A32" s="11" t="s">
        <v>290</v>
      </c>
      <c r="B32" s="6">
        <v>2</v>
      </c>
      <c r="C32" s="6">
        <v>25649670</v>
      </c>
      <c r="D32" s="6">
        <v>0</v>
      </c>
      <c r="E32" s="6">
        <v>0</v>
      </c>
      <c r="F32" s="6">
        <v>0</v>
      </c>
      <c r="G32" s="7">
        <v>0</v>
      </c>
      <c r="H32" s="10">
        <v>0</v>
      </c>
      <c r="I32" s="10">
        <v>0</v>
      </c>
      <c r="J32" s="10">
        <v>0</v>
      </c>
      <c r="K32" t="s">
        <v>40</v>
      </c>
    </row>
    <row r="33" spans="1:11" x14ac:dyDescent="0.25">
      <c r="A33" s="11" t="s">
        <v>289</v>
      </c>
      <c r="B33" s="6">
        <v>0</v>
      </c>
      <c r="C33" s="6">
        <v>11473334</v>
      </c>
      <c r="D33" s="6">
        <v>0</v>
      </c>
      <c r="E33" s="6">
        <v>0</v>
      </c>
      <c r="F33" s="6">
        <v>0</v>
      </c>
      <c r="G33" s="7">
        <v>0</v>
      </c>
      <c r="H33" s="10">
        <v>0</v>
      </c>
      <c r="I33" s="10">
        <v>0</v>
      </c>
      <c r="J33" s="10">
        <v>0</v>
      </c>
      <c r="K33" t="s">
        <v>40</v>
      </c>
    </row>
    <row r="34" spans="1:11" x14ac:dyDescent="0.25">
      <c r="A34" s="11" t="s">
        <v>288</v>
      </c>
      <c r="B34" s="6">
        <v>0</v>
      </c>
      <c r="C34" s="6">
        <v>20416032</v>
      </c>
      <c r="D34" s="6">
        <v>0</v>
      </c>
      <c r="E34" s="6">
        <v>0</v>
      </c>
      <c r="F34" s="6">
        <v>0</v>
      </c>
      <c r="G34" s="7">
        <v>0</v>
      </c>
      <c r="H34" s="10">
        <v>0</v>
      </c>
      <c r="I34" s="10">
        <v>0</v>
      </c>
      <c r="J34" s="10">
        <v>0</v>
      </c>
      <c r="K34" t="s">
        <v>40</v>
      </c>
    </row>
    <row r="35" spans="1:11" ht="45" x14ac:dyDescent="0.25">
      <c r="A35" s="11" t="s">
        <v>287</v>
      </c>
      <c r="B35" s="6">
        <v>0</v>
      </c>
      <c r="C35" s="6">
        <v>13690050</v>
      </c>
      <c r="D35" s="6">
        <v>0</v>
      </c>
      <c r="E35" s="6">
        <v>0</v>
      </c>
      <c r="F35" s="6">
        <v>0</v>
      </c>
      <c r="G35" s="7">
        <v>0</v>
      </c>
      <c r="H35" s="10">
        <v>0</v>
      </c>
      <c r="I35" s="10">
        <v>0</v>
      </c>
      <c r="J35" s="10">
        <v>0</v>
      </c>
      <c r="K35" t="s">
        <v>40</v>
      </c>
    </row>
    <row r="36" spans="1:11" x14ac:dyDescent="0.25">
      <c r="A36" s="11" t="s">
        <v>286</v>
      </c>
      <c r="B36" s="6">
        <v>0</v>
      </c>
      <c r="C36" s="6">
        <v>32181691</v>
      </c>
      <c r="D36" s="6">
        <v>3476195</v>
      </c>
      <c r="E36" s="6">
        <v>0</v>
      </c>
      <c r="F36" s="6">
        <v>3476195</v>
      </c>
      <c r="G36" s="7">
        <v>0.10801778564091</v>
      </c>
      <c r="H36" s="10">
        <v>0</v>
      </c>
      <c r="I36" s="10">
        <v>0</v>
      </c>
      <c r="J36" s="10">
        <v>0.39</v>
      </c>
      <c r="K36" t="s">
        <v>40</v>
      </c>
    </row>
    <row r="37" spans="1:11" ht="30" x14ac:dyDescent="0.25">
      <c r="A37" s="11" t="s">
        <v>285</v>
      </c>
      <c r="B37" s="6">
        <v>2</v>
      </c>
      <c r="C37" s="6">
        <v>21780887</v>
      </c>
      <c r="D37" s="6">
        <v>0</v>
      </c>
      <c r="E37" s="6">
        <v>0</v>
      </c>
      <c r="F37" s="6">
        <v>0</v>
      </c>
      <c r="G37" s="7">
        <v>0</v>
      </c>
      <c r="H37" s="10">
        <v>0</v>
      </c>
      <c r="I37" s="10">
        <v>0</v>
      </c>
      <c r="J37" s="10">
        <v>0</v>
      </c>
      <c r="K37" t="s">
        <v>40</v>
      </c>
    </row>
    <row r="38" spans="1:11" ht="30" x14ac:dyDescent="0.25">
      <c r="A38" s="11" t="s">
        <v>284</v>
      </c>
      <c r="B38" s="6">
        <v>1</v>
      </c>
      <c r="C38" s="6">
        <v>72770510</v>
      </c>
      <c r="D38" s="6">
        <v>0</v>
      </c>
      <c r="E38" s="6">
        <v>0</v>
      </c>
      <c r="F38" s="6">
        <v>0</v>
      </c>
      <c r="G38" s="7">
        <v>0</v>
      </c>
      <c r="H38" s="10">
        <v>0</v>
      </c>
      <c r="I38" s="10">
        <v>0</v>
      </c>
      <c r="J38" s="10">
        <v>0</v>
      </c>
      <c r="K38" t="s">
        <v>39</v>
      </c>
    </row>
    <row r="39" spans="1:11" x14ac:dyDescent="0.25">
      <c r="A39" s="11" t="s">
        <v>283</v>
      </c>
      <c r="B39" s="6">
        <v>0</v>
      </c>
      <c r="C39" s="6">
        <v>20139003</v>
      </c>
      <c r="D39" s="6">
        <v>0</v>
      </c>
      <c r="E39" s="6">
        <v>0</v>
      </c>
      <c r="F39" s="6">
        <v>0</v>
      </c>
      <c r="G39" s="7">
        <v>0</v>
      </c>
      <c r="H39" s="10">
        <v>0</v>
      </c>
      <c r="I39" s="10">
        <v>0</v>
      </c>
      <c r="J39" s="10">
        <v>0</v>
      </c>
      <c r="K39" t="s">
        <v>44</v>
      </c>
    </row>
    <row r="40" spans="1:11" ht="30" x14ac:dyDescent="0.25">
      <c r="A40" s="11" t="s">
        <v>282</v>
      </c>
      <c r="B40" s="6">
        <v>0</v>
      </c>
      <c r="C40" s="6">
        <v>35000000</v>
      </c>
      <c r="D40" s="6">
        <v>0</v>
      </c>
      <c r="E40" s="6">
        <v>0</v>
      </c>
      <c r="F40" s="6">
        <v>0</v>
      </c>
      <c r="G40" s="7">
        <v>0</v>
      </c>
      <c r="H40" s="10">
        <v>0</v>
      </c>
      <c r="I40" s="10">
        <v>0</v>
      </c>
      <c r="J40" s="10">
        <v>0</v>
      </c>
      <c r="K40" t="s">
        <v>44</v>
      </c>
    </row>
    <row r="41" spans="1:11" x14ac:dyDescent="0.25">
      <c r="A41" s="11" t="s">
        <v>281</v>
      </c>
      <c r="B41" s="6">
        <v>11374000</v>
      </c>
      <c r="C41" s="6">
        <v>87533490</v>
      </c>
      <c r="D41" s="6">
        <v>69684699</v>
      </c>
      <c r="E41" s="6">
        <v>11373391</v>
      </c>
      <c r="F41" s="6">
        <v>81058090</v>
      </c>
      <c r="G41" s="7">
        <v>0.92602374245560204</v>
      </c>
      <c r="H41" s="10">
        <v>0.26094970986460297</v>
      </c>
      <c r="I41" s="10">
        <v>0.99994645683136996</v>
      </c>
      <c r="J41" s="10">
        <v>1</v>
      </c>
      <c r="K41" t="s">
        <v>41</v>
      </c>
    </row>
    <row r="42" spans="1:11" ht="30" x14ac:dyDescent="0.25">
      <c r="A42" s="11" t="s">
        <v>280</v>
      </c>
      <c r="B42" s="6">
        <v>0</v>
      </c>
      <c r="C42" s="6">
        <v>1100000000</v>
      </c>
      <c r="D42" s="6">
        <v>0</v>
      </c>
      <c r="E42" s="6">
        <v>0</v>
      </c>
      <c r="F42" s="6">
        <v>0</v>
      </c>
      <c r="G42" s="7">
        <v>0</v>
      </c>
      <c r="H42" s="10">
        <v>0</v>
      </c>
      <c r="I42" s="10">
        <v>0</v>
      </c>
      <c r="J42" s="10">
        <v>0</v>
      </c>
      <c r="K42" t="s">
        <v>41</v>
      </c>
    </row>
    <row r="43" spans="1:11" ht="30" x14ac:dyDescent="0.25">
      <c r="A43" s="11" t="s">
        <v>279</v>
      </c>
      <c r="B43" s="6">
        <v>0</v>
      </c>
      <c r="C43" s="6">
        <v>35000000</v>
      </c>
      <c r="D43" s="6">
        <v>0</v>
      </c>
      <c r="E43" s="6">
        <v>0</v>
      </c>
      <c r="F43" s="6">
        <v>0</v>
      </c>
      <c r="G43" s="7">
        <v>0</v>
      </c>
      <c r="H43" s="10">
        <v>0</v>
      </c>
      <c r="I43" s="10">
        <v>0</v>
      </c>
      <c r="J43" s="10">
        <v>0</v>
      </c>
      <c r="K43" t="s">
        <v>45</v>
      </c>
    </row>
    <row r="44" spans="1:11" x14ac:dyDescent="0.25">
      <c r="B44" s="6">
        <f>SUBTOTAL(109,Table111[Toplam Yıl Ödeneği])</f>
        <v>93262572</v>
      </c>
      <c r="C44" s="6">
        <f>SUBTOTAL(109,Table111[Toplam Proje Tutarı])</f>
        <v>2677555447</v>
      </c>
      <c r="D44" s="6">
        <f>SUBTOTAL(109,Table111[Önceki Yıllar Toplam Harcaması])</f>
        <v>137836305</v>
      </c>
      <c r="E44" s="6">
        <f>SUBTOTAL(109,Table111[Yılı Harcama Tutarı])</f>
        <v>93261760</v>
      </c>
      <c r="F44" s="6">
        <f>SUBTOTAL(109,Table111[Toplam Harcama Tutarı])</f>
        <v>231098065</v>
      </c>
    </row>
  </sheetData>
  <mergeCells count="1">
    <mergeCell ref="A1:L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27</vt:i4>
      </vt:variant>
    </vt:vector>
  </HeadingPairs>
  <TitlesOfParts>
    <vt:vector size="27" baseType="lpstr">
      <vt:lpstr>TÜM KURULUŞLAR</vt:lpstr>
      <vt:lpstr>GENEL BÜTÇE</vt:lpstr>
      <vt:lpstr>MAHALLİ İDARELER</vt:lpstr>
      <vt:lpstr>İLÇELER</vt:lpstr>
      <vt:lpstr>SEKTÖRLER</vt:lpstr>
      <vt:lpstr>ERZİNCAN BELEDİYESİ</vt:lpstr>
      <vt:lpstr>EBYÜ</vt:lpstr>
      <vt:lpstr>İL ÖZEL İDARESİ</vt:lpstr>
      <vt:lpstr>DSİ 8. BÖLGE MÜDÜRLÜĞÜ </vt:lpstr>
      <vt:lpstr>KARAYOLLARI 16. BÖLGE MÜDÜRLÜĞÜ</vt:lpstr>
      <vt:lpstr>KARAYOLLARI 12. BÖLGE </vt:lpstr>
      <vt:lpstr> İLLER BANKASI  BÖLGE </vt:lpstr>
      <vt:lpstr>ORMAN BÖLGE</vt:lpstr>
      <vt:lpstr>TAPU VE KADASTRO 24. BÖLGE</vt:lpstr>
      <vt:lpstr>TARIM VE ORMAN BAKANLIĞI 13. BÖ</vt:lpstr>
      <vt:lpstr>TCDD 4. BÖLGE MÜDÜRLÜĞÜ </vt:lpstr>
      <vt:lpstr> TEİAŞ 15. BÖLGE MÜDÜRLÜĞÜ </vt:lpstr>
      <vt:lpstr>VAKIFLAR BÖLGE MÜDÜRLÜĞ</vt:lpstr>
      <vt:lpstr> ÇEVRE, ŞEHİRCİLİK VE İ</vt:lpstr>
      <vt:lpstr> GENÇLİK VE SPOR İL MÜ</vt:lpstr>
      <vt:lpstr> İL AFET VE ACİL DURUM </vt:lpstr>
      <vt:lpstr> İL EMNİYET MÜDÜRLÜĞÜ</vt:lpstr>
      <vt:lpstr> İL JANDARMA KOMUTANLIĞ</vt:lpstr>
      <vt:lpstr> İL KÜLTÜR VE TURİZM MÜ</vt:lpstr>
      <vt:lpstr> İL SAĞLIK MÜDÜRLÜĞÜ</vt:lpstr>
      <vt:lpstr> İL TARIM VE ORMAN MÜDÜ</vt:lpstr>
      <vt:lpstr> İL MİLLİ EĞİTİM MÜDÜRLÜĞÜ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Engin USTAOĞLU</cp:lastModifiedBy>
  <cp:lastPrinted>2023-01-20T10:35:28Z</cp:lastPrinted>
  <dcterms:created xsi:type="dcterms:W3CDTF">2016-07-06T08:22:49Z</dcterms:created>
  <dcterms:modified xsi:type="dcterms:W3CDTF">2023-01-23T12:51:54Z</dcterms:modified>
</cp:coreProperties>
</file>