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gin.ustaoglu\Desktop\KOORDİNASYONLAR\koordinasyon 4 ekim 2022\"/>
    </mc:Choice>
  </mc:AlternateContent>
  <bookViews>
    <workbookView xWindow="0" yWindow="0" windowWidth="18960" windowHeight="7605" firstSheet="17" activeTab="21"/>
  </bookViews>
  <sheets>
    <sheet name="Tüm Kuruluşlar" sheetId="1" r:id="rId1"/>
    <sheet name="Erzincan Belediyesi" sheetId="2" r:id="rId2"/>
    <sheet name="EBYÜ" sheetId="3" r:id="rId3"/>
    <sheet name="İller Bankası  " sheetId="4" r:id="rId4"/>
    <sheet name="TEİAŞ 15. BG" sheetId="5" r:id="rId5"/>
    <sheet name="Vakıflar BG" sheetId="6" r:id="rId6"/>
    <sheet name="DSİ 8. BG" sheetId="7" r:id="rId7"/>
    <sheet name="Orman BG" sheetId="8" r:id="rId8"/>
    <sheet name="Tarım ve Orman B.13.BG" sheetId="9" r:id="rId9"/>
    <sheet name="Karayolları 16. BG " sheetId="10" r:id="rId10"/>
    <sheet name="TCDD 4. BG" sheetId="11" r:id="rId11"/>
    <sheet name="Tapu ve Kadastro 24. BG" sheetId="12" r:id="rId12"/>
    <sheet name="AFAD" sheetId="13" r:id="rId13"/>
    <sheet name="Çevre Şehircilik ve İklim " sheetId="14" r:id="rId14"/>
    <sheet name="Gençlik ve Spor İl M." sheetId="15" r:id="rId15"/>
    <sheet name="Kültür ve Turizm M." sheetId="16" r:id="rId16"/>
    <sheet name="Milli Eğitim M." sheetId="17" r:id="rId17"/>
    <sheet name="iL Sağlık M. " sheetId="19" r:id="rId18"/>
    <sheet name="İL Tarım ve Orman M." sheetId="21" r:id="rId19"/>
    <sheet name="İl Özel İdaresi" sheetId="23" r:id="rId20"/>
    <sheet name="İL jandarma  " sheetId="25" r:id="rId21"/>
    <sheet name="İl Emniyet M" sheetId="26" r:id="rId22"/>
    <sheet name="Sayfa1" sheetId="24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6" l="1"/>
  <c r="C5" i="26"/>
  <c r="D5" i="26"/>
  <c r="E5" i="26"/>
  <c r="F5" i="26"/>
  <c r="B6" i="25" l="1"/>
  <c r="C6" i="25"/>
  <c r="D6" i="25"/>
  <c r="E6" i="25"/>
  <c r="F6" i="25"/>
  <c r="B160" i="23" l="1"/>
  <c r="C160" i="23"/>
  <c r="D160" i="23"/>
  <c r="E160" i="23"/>
  <c r="F160" i="23"/>
  <c r="B25" i="21" l="1"/>
  <c r="C25" i="21"/>
  <c r="D25" i="21"/>
  <c r="E25" i="21"/>
  <c r="F25" i="21"/>
  <c r="A15" i="19" l="1"/>
  <c r="B16" i="19"/>
  <c r="C16" i="19"/>
  <c r="D16" i="19"/>
  <c r="E16" i="19"/>
  <c r="F16" i="19"/>
  <c r="F36" i="17" l="1"/>
  <c r="E36" i="17"/>
  <c r="D36" i="17"/>
  <c r="C36" i="17"/>
  <c r="B36" i="17"/>
  <c r="F8" i="16" l="1"/>
  <c r="E8" i="16"/>
  <c r="D8" i="16"/>
  <c r="C8" i="16"/>
  <c r="B8" i="16"/>
  <c r="F15" i="15" l="1"/>
  <c r="E15" i="15"/>
  <c r="D15" i="15"/>
  <c r="C15" i="15"/>
  <c r="B15" i="15"/>
  <c r="F5" i="14" l="1"/>
  <c r="E5" i="14"/>
  <c r="D5" i="14"/>
  <c r="C5" i="14"/>
  <c r="B5" i="14"/>
  <c r="F9" i="13" l="1"/>
  <c r="E9" i="13"/>
  <c r="D9" i="13"/>
  <c r="C9" i="13"/>
  <c r="B9" i="13"/>
  <c r="F5" i="12" l="1"/>
  <c r="E5" i="12"/>
  <c r="D5" i="12"/>
  <c r="C5" i="12"/>
  <c r="B5" i="12"/>
  <c r="F25" i="11" l="1"/>
  <c r="E25" i="11"/>
  <c r="D25" i="11"/>
  <c r="C25" i="11"/>
  <c r="B25" i="11"/>
  <c r="F25" i="10" l="1"/>
  <c r="E25" i="10"/>
  <c r="D25" i="10"/>
  <c r="C25" i="10"/>
  <c r="B25" i="10"/>
  <c r="F5" i="9" l="1"/>
  <c r="E5" i="9"/>
  <c r="D5" i="9"/>
  <c r="C5" i="9"/>
  <c r="B5" i="9"/>
  <c r="F10" i="8" l="1"/>
  <c r="E10" i="8"/>
  <c r="D10" i="8"/>
  <c r="C10" i="8"/>
  <c r="B10" i="8"/>
  <c r="F40" i="7" l="1"/>
  <c r="E40" i="7"/>
  <c r="D40" i="7"/>
  <c r="C40" i="7"/>
  <c r="B40" i="7"/>
  <c r="F6" i="6" l="1"/>
  <c r="E6" i="6"/>
  <c r="D6" i="6"/>
  <c r="C6" i="6"/>
  <c r="B6" i="6"/>
  <c r="F6" i="5" l="1"/>
  <c r="E6" i="5"/>
  <c r="D6" i="5"/>
  <c r="C6" i="5"/>
  <c r="B6" i="5"/>
  <c r="F9" i="4" l="1"/>
  <c r="E9" i="4"/>
  <c r="D9" i="4"/>
  <c r="C9" i="4"/>
  <c r="B9" i="4"/>
  <c r="F13" i="3" l="1"/>
  <c r="E13" i="3"/>
  <c r="D13" i="3"/>
  <c r="C13" i="3"/>
  <c r="B13" i="3"/>
  <c r="F20" i="2" l="1"/>
  <c r="E20" i="2"/>
  <c r="D20" i="2"/>
  <c r="C20" i="2"/>
  <c r="B20" i="2"/>
  <c r="C26" i="1" l="1"/>
  <c r="D26" i="1"/>
  <c r="E26" i="1"/>
  <c r="F26" i="1"/>
  <c r="G26" i="1"/>
  <c r="B26" i="1"/>
</calcChain>
</file>

<file path=xl/sharedStrings.xml><?xml version="1.0" encoding="utf-8"?>
<sst xmlns="http://schemas.openxmlformats.org/spreadsheetml/2006/main" count="997" uniqueCount="426">
  <si>
    <t>Yatırımcı Kuruluş</t>
  </si>
  <si>
    <t>Proje Sayısı</t>
  </si>
  <si>
    <t>Toplam Yıl Ödeneği</t>
  </si>
  <si>
    <t>Toplam Proje Tutarı</t>
  </si>
  <si>
    <t>Önceki Yıllar Toplam Harcaması</t>
  </si>
  <si>
    <t>Yılı Harcama Tutarı</t>
  </si>
  <si>
    <t>Toplam Harcama Tutarı</t>
  </si>
  <si>
    <t>Nakdi Gerçekleşme Oranı</t>
  </si>
  <si>
    <t>Dönem Nakdi Gerçekleşme Oranı</t>
  </si>
  <si>
    <t>Yılı Harcama Oranı</t>
  </si>
  <si>
    <t>Fiziki Gerçekleşme Oranı</t>
  </si>
  <si>
    <t>ERZİNCAN İL EMNİYET MÜDÜRLÜĞÜ</t>
  </si>
  <si>
    <t>ERZİNCAN İL JANDARMA KOMUTANLIĞI</t>
  </si>
  <si>
    <t>TARIM VE ORMAN BAKANLIĞI 13. BÖLGE MÜDÜRLÜĞÜ</t>
  </si>
  <si>
    <t>TEİAŞ 15. BÖLGE MÜDÜRLÜĞÜ</t>
  </si>
  <si>
    <t>ERZİNCAN İL TARIM VE ORMAN MÜDÜRLÜĞÜ</t>
  </si>
  <si>
    <t>TCDD 4. BÖLGE MÜDÜRLÜĞÜ</t>
  </si>
  <si>
    <t>DSİ 8. BÖLGE MÜDÜRLÜĞÜ</t>
  </si>
  <si>
    <t>ERZİNCAN İL MİLLİ EĞİTİM MÜDÜRLÜĞÜ</t>
  </si>
  <si>
    <t>ERZİNCAN İL AFET VE ACİL DURUM MÜDÜRLÜĞÜ</t>
  </si>
  <si>
    <t>ERZİNCAN BİNALİ YILDIRIM ÜNİVERSİTESİ REKTÖRLÜĞÜ</t>
  </si>
  <si>
    <t>ERZİNCAN İL ÖZEL İDARESİ</t>
  </si>
  <si>
    <t>KARAYOLLARI 16. BÖLGE MÜDÜRLÜĞÜ</t>
  </si>
  <si>
    <t>ERZİNCAN İL KÜLTÜR VE TURİZM MÜDÜRLÜĞÜ</t>
  </si>
  <si>
    <t>ERZURUM ORMAN BÖLGE MÜDÜRLÜĞÜ</t>
  </si>
  <si>
    <t>İLLER BANKASI ERZURUM BÖLGE MÜDÜRLÜĞÜ</t>
  </si>
  <si>
    <t>ERZİNCAN GENÇLİK VE SPOR İL MÜDÜRLÜĞÜ</t>
  </si>
  <si>
    <t>KARAYOLLARI 12. BÖLGE MÜDÜRLÜĞÜ</t>
  </si>
  <si>
    <t>ERZİNCAN İL SAĞLIK MÜDÜRLÜĞÜ</t>
  </si>
  <si>
    <t>TAPU VE KADASTRO XXIV. (ERZİNCAN) BÖLGE MÜDÜRLÜĞÜ</t>
  </si>
  <si>
    <t>ERZİNCAN ÇEVRE, ŞEHİRCİLİK VE İKLİM DEĞİŞİKLİĞİ İL MÜDÜRLÜĞÜ</t>
  </si>
  <si>
    <t>ERZİNCAN BELEDİYE BAŞKANLIĞI</t>
  </si>
  <si>
    <t>ERZURUM VAKIFLAR BÖLGE MÜDÜRLÜĞÜ</t>
  </si>
  <si>
    <t>TÜM KURUMLAR</t>
  </si>
  <si>
    <t>32%</t>
  </si>
  <si>
    <t>48%</t>
  </si>
  <si>
    <t xml:space="preserve"> ERZİNCAN BELEDİYE BAŞKANLIĞI </t>
  </si>
  <si>
    <t>Proje Adı</t>
  </si>
  <si>
    <t>ERZİNCAN BELEDİYESİ MUHTELİF MAHALLELERDE KANALİZASYON HATTI YAPIM İŞİ</t>
  </si>
  <si>
    <t>ERZİNCAN MERKEZ KIZILAY VE HOCABEY MAHALLELERİ KENTSEL DÖNÜŞÜM ALANINDA 1 BLOK (2+1) KONUT YAPIM İŞİ</t>
  </si>
  <si>
    <t>ERZİNCAN MERKEZ KIZILAY VE HOCABEY MAHALLELERİ KENTSEL DÖNÜŞÜM ALANINDA 2. KISIM 2 BLOK 16 DAİRE (4+1) KONUT YAPIM İŞİ</t>
  </si>
  <si>
    <t>ERZİNCAN MERKEZ KIZILAY VE HOCABEY MAHALLELERİ KENTSEL DÖNÜŞÜM ALANINDA 2. KISIM 2 BLOK 32 DAİRE (2+1) KONUT YAPIM İŞİ</t>
  </si>
  <si>
    <t>ERZİNCAN MERKEZ KIZILAY VE HOCABEY MAHALLELERİ KENTSEL DÖNÜŞÜM ALANINDA 2. KISIM 4 BLOK 32 DAİRE (3+1) KONUT YAPIM İŞİ</t>
  </si>
  <si>
    <t>ERZİNCAN MERKEZ KIZILAY VE HOCABEY MAHALLELERİ KENTSEL DÖNÜŞÜM ALANINDA 3. KISIM 1 BLOK 16 DAİRE (2+1) KONUT YAPIM İŞİ</t>
  </si>
  <si>
    <t>ERZİNCAN MERKEZ KIZILAY VE HOCABEY MAHALLELERİ KENTSEL DÖNÜŞÜM ALANINDA 3. KISIM 4 BLOK 32 DAİRE (3+1) KONUT YAPIM İŞİ</t>
  </si>
  <si>
    <t>ERZİNCAN MERKEZ KIZILAY VE HOCABEY MAHALLELERİ KENTSEL DÖNÜŞÜM ALANINDA 4. KISIM 4 BLOK 32 DAİRE (3+1) KONUT YAPIM İŞİ</t>
  </si>
  <si>
    <t>ERZİNCAN MERKEZ KIZILAY VE HOCABEY MAHALLELERİ KENTSEL DÖNÜŞÜM ALANINDA 5. KISIM 2 BLOK 24 DAİRE (3+1) KONUT VE 12 ADET İŞ YERİ YAPIM İŞİ</t>
  </si>
  <si>
    <t>ERZİNCAN MERKEZ KIZILAY VE HOCABEY MAHALLELERİ KENTSEL DÖNÜŞÜM ALANINDA 6. KISIM 24 DAİRE (4+1) KONUT VE 12 ADET İŞ YERİ YAPIM İŞİ</t>
  </si>
  <si>
    <t>ERZİNCAN MERKEZ KIZILAY VE HOCABEY MAHALLELERİ KENTSEL DÖNÜŞÜM ALANINDA 7. KISIM 6 BLOK 48 DAİRE (3+1) KONUT YAPIM İŞİ</t>
  </si>
  <si>
    <t>ERZİNCAN MERKEZ KIZILAY VE HOCABEY MAHALLELERİ KENTSEL DÖNÜŞÜM ALANINDA 8. KISIM 42 DAİRE (3+1) KONUT 24 ADET İŞ YERİ YAPIM İŞİ</t>
  </si>
  <si>
    <t>ERZİNCAN MERKEZ KIZILAY VE HOCABEY MAHALLELERİ KENTSEL DÖNÜŞÜM ALANINDA 9. KISIM 24 DAİRE (3+1) KONUT YAPIM İŞİ</t>
  </si>
  <si>
    <t>ERZİNCAN MERKEZ KIZILAY VE HOCABEY MAHALLELERİ KENTSEL DÖNÜŞÜM PROJESİ KAMULAŞTIRMA</t>
  </si>
  <si>
    <t>ERZİNCAN MERKEZ YENİ SANAYİ SİTESİ A VE B BLOK İŞYERİ YAPIM İŞİ</t>
  </si>
  <si>
    <t>ÜLKÜ SPOR KOMPLEKSİ YENİLEME PROJESİ</t>
  </si>
  <si>
    <t>İlçe Adı</t>
  </si>
  <si>
    <t>AÇIK VE KAPALI SPOR TESİSLERİ</t>
  </si>
  <si>
    <t>MERKEZ</t>
  </si>
  <si>
    <t>ÇEŞİTLİ ÜNİTELERİN ETÜT PROJESİ</t>
  </si>
  <si>
    <t>ERZİNCAN BİNALİ YILDIRIM ÜNİVERSİTESİ REKTÖRLÜK KONUT BİNASI</t>
  </si>
  <si>
    <t>ERZİNCAN ÜNİVERSİTESİ BEDEN EĞİTİMİ SPOR YÜKSEKOKULU VE ANTRENMAN SALONLARI BİNASI YAPIM İŞİ</t>
  </si>
  <si>
    <t>İKTİSADİ İDARİ BİLİMLE FAKÜLTESİ BİNASI YAPIM İŞİ</t>
  </si>
  <si>
    <t>KAMPÜS ALT YAPISI-(EBYÜ YALNIZBAĞ YERLEŞKESİ ÇEVRE YOLU, ÇEVRE DUVARI VE ALT YAPI YAPIM İŞİ)</t>
  </si>
  <si>
    <t>MUHTELİF İŞLER</t>
  </si>
  <si>
    <t>MÜHENDİSLİK FAKÜLTESİ LABORATUVAR BİNASI YAPIM İŞİ</t>
  </si>
  <si>
    <t>YAYIN ALIMI</t>
  </si>
  <si>
    <t>ALTINBAŞAK KANALİZASYON İNŞAATI YAPIM İŞİ.</t>
  </si>
  <si>
    <t>ÜZÜMLÜ</t>
  </si>
  <si>
    <t>ÇAĞLAYAN İÇMESUYU İNŞAATI YAPIM İŞİ</t>
  </si>
  <si>
    <t>OTLUKBELİ İÇMESUYU</t>
  </si>
  <si>
    <t>OTLUKBELİ</t>
  </si>
  <si>
    <t>TERCAN KANALİZASYON VE İÇMESUYU İNŞAATI YAPIM İŞİ</t>
  </si>
  <si>
    <t>TERCAN</t>
  </si>
  <si>
    <t>ÜZÜMLÜ İÇMESUYU İNŞAATI</t>
  </si>
  <si>
    <t>ERİÇ-BAĞIŞTAŞ EİH</t>
  </si>
  <si>
    <t>İLİÇ</t>
  </si>
  <si>
    <t>ERZİNCAN İŞLETME VE BAKIM MÜDÜRLÜĞÜ HİZMET BİNASI</t>
  </si>
  <si>
    <t xml:space="preserve"> ERZURUM VAKIFLAR BÖLGE MÜDÜRLÜĞÜ </t>
  </si>
  <si>
    <t>ERZİNCAN-KEMAH BEKLİMÇAY CAMİİ,SOĞUKPINAR (YUKARI MAHALLE) CAMİİ , AŞAĞI GEDİK CAMİİ VE ERZURUM HINIS ALAATTİN BEY CAMİİ</t>
  </si>
  <si>
    <t>KEMAH</t>
  </si>
  <si>
    <t>ERZİNCAN-KEMALİYE KURTOĞLU CAMİİ, ERZİNCAN-KEMALİYE DÖRTYOLAĞZI CAMİİ, ERZİNCAN-KEMALİYE HACIEMİN MESCİDİ</t>
  </si>
  <si>
    <t>KEMALİYE</t>
  </si>
  <si>
    <t xml:space="preserve"> DSİ 8. BÖLGE MÜDÜRLÜĞÜ </t>
  </si>
  <si>
    <t>4373 SAYILI KANUN KAPSAMINDA ERZİNCAN İLİ HAVZA BAZLI DERELERİN ETÜTLERİNİN YAPILMASI</t>
  </si>
  <si>
    <t>BALLI BARAJI</t>
  </si>
  <si>
    <t>BALLI BARAJI ANA İLETİM HATTI</t>
  </si>
  <si>
    <t>ERZİNCAN 1.KISIM AT VE TİGH</t>
  </si>
  <si>
    <t/>
  </si>
  <si>
    <t>ERZİNCAN 2.KISIM AT VE TİGH</t>
  </si>
  <si>
    <t>ERZİNCAN ÇAYIRLI PROJESİ KARADİVAN BARAJI PROJE YAPIMI</t>
  </si>
  <si>
    <t>ERZİNCAN İÇMESUYU İSALE HATTI VE ARITMA TESİSİ PROJE YAPIMI İLE MÜŞAVİRLİK HİZMETLERİ</t>
  </si>
  <si>
    <t>ERZİNCAN İLİ 1. GRUP TERSİP BENDİ YAPIMI</t>
  </si>
  <si>
    <t>ERZİNCAN İLİ GÖLET VE SULAMALARI PLANLAMA RAPORU VE PROJE YAPIMI 3.KISIM (ERZİNCAN-SÜTPINAR, ERZİNCAN-DEREYURT, REFAHİYE-AYDINCIK, KEMAH-KÖMÜRKÖY...)</t>
  </si>
  <si>
    <t>ERZİNCAN İLİ GÖLET VE SULAMALARI PLANLAMA RAPORU VE PROJE YAPIMI 6. KISIM</t>
  </si>
  <si>
    <t>ERZİNCAN İLİ HİS GÖLETLERİ PLANLAMA RAPORU HAZIRLANMASI</t>
  </si>
  <si>
    <t>ERZİNCAN İLİ İŞLETMEDEKİ TAŞKIN KONTROL TESİSLERİNDE YETERSİZ GEÇİŞ YAPILARININ YENİLENMESİ</t>
  </si>
  <si>
    <t>ERZİNCAN İLİÇ KURUÇAY DARDERE MAHALLESİ TERSİP BENDİ VE ISLAH SEKİSİ YAPIMI</t>
  </si>
  <si>
    <t>ERZİNCAN KEMAH ÇİĞDEMLİ KÖYÜ KÜÇÜKARDIÇ DERESİ, YANDERE VE KURU DERE</t>
  </si>
  <si>
    <t>ERZİNCAN KEMAH DOĞANBEYLİ GÖLETİ İKMALİ</t>
  </si>
  <si>
    <t>ERZİNCAN KEMAH KARADAĞ GÖLETİ</t>
  </si>
  <si>
    <t>ERZİNCAN KEMAH KARADAĞ GÖLETİ SULAMASI</t>
  </si>
  <si>
    <t>ERZİNCAN KEMAH ÖZDAMAR REGÜLATÖR SULAMASI</t>
  </si>
  <si>
    <t>ERZİNCAN KEMAH TUZLAKÖY GÖLETİ</t>
  </si>
  <si>
    <t>ERZİNCAN KEMAH TUZLAKÖY GÖLETİ SULAMASI</t>
  </si>
  <si>
    <t>ERZİNCAN MERKEZ DAVARLI GÖLETİ</t>
  </si>
  <si>
    <t>ERZİNCAN MERKEZ DAVARLI GÖLETİ SULAMASI</t>
  </si>
  <si>
    <t>ERZİNCAN MERKEZ GEÇİT BELDESİ TAŞKIN KORUMA TESİSİ</t>
  </si>
  <si>
    <t>ERZİNCAN MERKEZ IŞIKPINAR MAHALLESİ</t>
  </si>
  <si>
    <t>ERZİNCAN OTLUKBELİ İLÇE MERKEZİ 1. KISIM</t>
  </si>
  <si>
    <t>ERZİNCAN REFAHİYE ARDIÇLIK, ULUDERE, ULUÇAK, AVŞARÖZÜ KÖYLERİ TERSİP BENDİ VE ISLAH SEKİSİ YAPIMI</t>
  </si>
  <si>
    <t>REFAHİYE</t>
  </si>
  <si>
    <t>ERZİNCAN REFAHİYE AVŞARÖZÜ GÖLETİ</t>
  </si>
  <si>
    <t>ERZİNCAN REFAHİYE AVŞARÖZÜ GÖLETİ SULAMASI</t>
  </si>
  <si>
    <t>ERZİNCAN REFAHİYE ÇAT KÖYÜ</t>
  </si>
  <si>
    <t>ERZİNCAN REFAHİYE İLÇE MERKEZİ HAKOĞLU (KOCAÇAY) DERESİ YAN KOLLARI 1. KISIM</t>
  </si>
  <si>
    <t>ERZİNCAN REFAHİYE YURTBAŞI GÖLETİ</t>
  </si>
  <si>
    <t>ERZİNCAN REFAHİYE YURTBAŞI GÖLETİ SULAMASI</t>
  </si>
  <si>
    <t>ERZİNCAN SAĞ SAHİL POMPAJ TESİSLERİ TAMAMLAMA</t>
  </si>
  <si>
    <t>ERZİNCAN TERCAN ÇAVUŞLU MAHALLESİ</t>
  </si>
  <si>
    <t>ERZİNCAN TURNAÇAYIRI BARAJI</t>
  </si>
  <si>
    <t>ÇAYIRLI</t>
  </si>
  <si>
    <t>ERZİNCAN TURNAÇAYIRI BARAJI SULAMASI</t>
  </si>
  <si>
    <t>EROZYONLA MÜCADELE VE TOPRAK MUHAFAZA PROJESİ</t>
  </si>
  <si>
    <t>FİDAN ÜRETİM PROJESİ</t>
  </si>
  <si>
    <t>ORMAN KADASTROSU VE TESCİLİ PROJESİ</t>
  </si>
  <si>
    <t>ORMAN KORUMA VE YANGINLA MÜCADELE PROJESİ</t>
  </si>
  <si>
    <t>ORMANCILIK ALTYAPISI VE ÜRETİM MAKİNASI ALIMI PROJESİ</t>
  </si>
  <si>
    <t>ORMANLARIN GELİŞTİRİLMESİ VE GENİŞLETİLMESİ PROJESİ</t>
  </si>
  <si>
    <t xml:space="preserve"> TARIM VE ORMAN BAKANLIĞI 13. BÖLGE MÜDÜRLÜĞÜ</t>
  </si>
  <si>
    <t>BİYOLOJİK ÇEŞİTLİLİĞE DAYALI GELENEKSEL BİLGİNİN KAYIT ALTINA ALINMASI</t>
  </si>
  <si>
    <t xml:space="preserve"> KARAYOLLARI 16. BÖLGE MÜDÜRLÜĞÜ </t>
  </si>
  <si>
    <t>(AKINCILAR-REFAHİYE) AYR- ÇATALÇAM YOLU (KM=0+000-16,151 ARASI) TOPRAK İŞLERİ, SANAT YAPILARI,DAMLACA-1,DAMLACA-2 KÖPRÜLERİ VE ÜSTYAPI İŞLERİ YOL YAP</t>
  </si>
  <si>
    <t>BAKIM ONARIM ,TESİS YAPIMI-ONARIMI VE KAR MÜCADELESİ ÇALIŞMALARI 2022</t>
  </si>
  <si>
    <t>DEMİRÖZÜ-OTLUKBELİ YOLU TOPRAK İŞLERİ,SANAT YAPILARI,ÜSTYAPI İŞLERİ YOL YAPIM İNŞ.</t>
  </si>
  <si>
    <t>ERZİNCAN-BAŞKÖY-ÇAYIRLI YOLU (KM=14+775-46+720 ARASI) TOPRAK İŞLERİ, SANAT YAPILARI(DEVEKORUSU KÖPRÜSÜ YAPILMASI DAHİL) VE ÜSTYAPI İŞLERİ</t>
  </si>
  <si>
    <t>ERZİNCAN-PÜLÜMÜR)AYR.-12.BL.HD.YOLU</t>
  </si>
  <si>
    <t>ETÜT-PROJE MÜHENDİSLİK VE MÜŞAVİRLİK HİZMETLERİ 2022</t>
  </si>
  <si>
    <t>İMRANLI-REFAHİYE (DAP)</t>
  </si>
  <si>
    <t>İŞ SAĞLIĞI GÜVENLİĞİ İŞLERİ VE MAKİNA İKMAL YEDEK PARÇA, MALZEME ALIMLARI İLE ARAÇ KİRALAMA YAKACAK ALIMI 2022</t>
  </si>
  <si>
    <t>KAMULAŞTIRMA BEDELLERİ ÖDEMELERİ 2022</t>
  </si>
  <si>
    <t>KEMAH İLÇESİ CEBESOY KÖYÜ İLE ALPKÖYÜ ARASINDA KARAYOLUNDA KAYA DÜŞMESİ TEHLİKESİNE KARŞI ÖNLEM ALINMASI (İRAP)</t>
  </si>
  <si>
    <t>KEMALİYE İLÇESİ DUTLUCA-BAŞPINAR KÖYLERİ YOLLARININ HEYELAN NEDENİ İLE İYİLEŞTİRİLMESİ (İRAP)</t>
  </si>
  <si>
    <t>KIZILMAĞARA KÖPRÜSÜ VE BAĞLANTI YOLLARI YAPIM İŞİ</t>
  </si>
  <si>
    <t>REFAHİYE - İLİÇ - KEMALİYE - DUTLUCA - ARAPGİR YOLU KEMALİYE - DUTLUCA TÜNELLERİ VE BAĞLANTI YOLLARI İLE KEMALİYE VE KOZLUPINAR VİYADÜĞÜ KM:0+000 - 22</t>
  </si>
  <si>
    <t>REFAHİYE- KURUÇAY- İLİÇ DEVLET YOLU GÜMÜŞAKAR- KURUÇAY ARASI (SÜNEBELİ VE GÜMÜŞAKAR TÜNELİ VE BAĞLANTI YOLLARI DAHİL) KM: 17+900-43+520 KESİMİ (İKMAL)</t>
  </si>
  <si>
    <t>REFAHİYE-ERZİNCAN DEVLET YOLUKM:31+500-65+000 ARASI HEYELEN ISLAH YAPIMI</t>
  </si>
  <si>
    <t>REFAHİYE-KEMAH İL YOLU DAP</t>
  </si>
  <si>
    <t>REFAHİYE-KURUÇAY-İLİÇ DEVLET YOLU GÜMÜŞAKAR-KURUÇAY ARASI ( SÜNEBELİ TÜNELİ VE BAĞLANTI YOLLARI DAHİL ) KM. 22+500-51+500 TOPRAK İŞLERİ, SANAT YAPILAR</t>
  </si>
  <si>
    <t>REFAHİYE-KURUÇAY-İLİÇ YOLU [SÜNEBELİ VARYANTI-(İLİÇ-KEMAH)] AYR YOLU SANAT YAPILARI VE ÜST YAPI İKMAL İŞİ KM: 14+000 - 32+000</t>
  </si>
  <si>
    <t>SATHİ KAPLAMA ÇALIŞMALARI 2022</t>
  </si>
  <si>
    <t>TRAFİK GÜVENLİĞİ ÇALIŞMALARI 2022</t>
  </si>
  <si>
    <t>YAPIM MÜŞAVİRLİK HİZMETLERİ</t>
  </si>
  <si>
    <t>4. BÖLGE MÜDÜRLÜĞÜNE BAĞLI İSTASYONLARDA PERONBEJ YAPIMI</t>
  </si>
  <si>
    <t>42 ADET (ÇAMAF) MAKAS TEMİNİ VE 89 ADET MAKAS FERŞİ</t>
  </si>
  <si>
    <t>5 ADET TÜNEL TİPİ ÜST GEÇİT PROJESİ YAPILMASI</t>
  </si>
  <si>
    <t>556 ADET ALÜMİNOTERMİT RAY KAYNAĞI İŞLERİ</t>
  </si>
  <si>
    <t>DİVRİĞİ-ERZİNCAN ARASI PETRADÜK VE YÜKSEK KAYA YARMA PROJE YAPTIRILMASI</t>
  </si>
  <si>
    <t>EKSİK OLAN MEYİL LEVHALARININ YAPIMI</t>
  </si>
  <si>
    <t>ERZİNCAN GAR BİNASININ RRR, GÜÇLENDİRME VE ENGELLİ ERİŞEBİLİRLİK PROJELERİNİN HAZIRLANMASI (EMLAK MÜDÜRLÜĞÜ)</t>
  </si>
  <si>
    <t>ERZİNCAN GAR SAHASI 7 ADET BİNANIN DEPREM GÜÇLENDİRMESİNİN YAPILMASI</t>
  </si>
  <si>
    <t>ERZİNCAN GAR SAHASINDA BULUNAN 4 ADET RAY APARTMANI İLE 5 ADET MÜSTAKİL HİZMETEVİ İÇ TADİLATLARININ YAPILMASI</t>
  </si>
  <si>
    <t>ERZİNCAN OSB İLTİSAK HATTI EMNİYET YOLU YAPIMI</t>
  </si>
  <si>
    <t>ERZİNCAN OSB İLTİSAK HATTI KURBUNUN İYİLEŞTİRİLMESİ</t>
  </si>
  <si>
    <t>ERZİNCAN VE ZİLE (TOKAT) AKARYAKIT TESİSLERİNE KÖPÜKLÜ YANGIN SÖNDÜRME SİSTEMİ VE KURULUMU</t>
  </si>
  <si>
    <t>ERZİNCAN-ERZURUM ARASI KÖPRÜLERİN İYİLEŞTİRMESİ</t>
  </si>
  <si>
    <t>HEMZEMİN GEÇİTLERE KORUMA SİSTEMİ, MAKİNİST UYARI SİSTEMİ, KAMERALI İZLEME SİSTEMİ KURULMASI</t>
  </si>
  <si>
    <t>İLİÇ İSTASYON BİNASI ÇATI YENİLEME İŞİ</t>
  </si>
  <si>
    <t>İLİÇ İSTASYON BİNASI VE 6 ADET HİZMETEVİNİN DOĞALGAZ DÖNÜŞÜMÜ</t>
  </si>
  <si>
    <t>KAR TÜNELİ VE YARMA KAZISI YAPILMASI</t>
  </si>
  <si>
    <t>KIYI TAHKİMATI YAPILMASI</t>
  </si>
  <si>
    <t>MUHTELİF GAR VE İSTASYON BİNALARINA RÖLÖVE, RESTÜTİSYON VE RESTORASYON PROJESİ HAZIRLANMASI</t>
  </si>
  <si>
    <t>PERON-PERONBEJ BAĞLANTILARININ ENGELLİ ERİŞİMİNE UYGUN OLARAK DÜZENLEMESİ (EMLAK MÜDÜRLÜĞÜ)</t>
  </si>
  <si>
    <t>TMİ MINTIKASINDAKİ İSTASYONLARA MAKAS ISITICISI SİSTEMİ KURULMASI</t>
  </si>
  <si>
    <t xml:space="preserve">TAPU VE KADASTRO XXIV. (ERZİNCAN) BÖLGE MÜDÜRLÜĞÜ </t>
  </si>
  <si>
    <t>ERC-KML SÖZLEŞME REFERANS NOLU KADASTRO HARİTA VE BİLGİLERİNİN GÜNCELLEMESİ</t>
  </si>
  <si>
    <t xml:space="preserve"> ERZİNCAN İL AFET VE ACİL DURUM MÜDÜRLÜĞÜ </t>
  </si>
  <si>
    <t>AŞAĞISÜTLÜ KÖYÜ AFET KONUTLARI ELEKTRİK ALT YAPI İŞİ</t>
  </si>
  <si>
    <t>ERZİNCAN İLİ KEMALİYE İLÇESİ HARMANKAYA KÖYÜ ELEKTRİK ALT YAPI İŞİ</t>
  </si>
  <si>
    <t>ERZİNCAN İLİ REFAHİYE İLÇESİ AŞAĞISÜTLÜ KÖYÜ İSTİNAT DUVARI YAPIM İŞİ</t>
  </si>
  <si>
    <t>REFAHİYE İLÇESİ KANBERAĞA KÖYÜ KUZEYİNDE BULUNAN KAYA BLOKLARININ DÜŞME TEHLİKESİNE KARŞI ÖNLEM ALINMASI</t>
  </si>
  <si>
    <t>REFAHİYE İLÇESİ YURTBAŞI KÖYÜ TOPRAK KANAL YAPIM İŞİ</t>
  </si>
  <si>
    <t xml:space="preserve"> ERZİNCAN ÇEVRE, ŞEHİRCİLİK VE İKLİM DEĞİŞİKLİĞİ İL MÜDÜRLÜĞÜ </t>
  </si>
  <si>
    <t>ERZİNCAN İLİ MERKEZ GÜNBAĞI KÖYÜ İSKAN KONUTLARI YAPIM İŞİ</t>
  </si>
  <si>
    <t>1000 KİŞİLİK SPOR SALONU YAPIMI</t>
  </si>
  <si>
    <t>ERGAN DAĞINA 150 KİŞİLİK SEM, 2 FUTBOL SAHASI VE SOYUNMA ODASI YAPIMI</t>
  </si>
  <si>
    <t>ERZİNCAN YENİ ŞEHİR STADYUMU</t>
  </si>
  <si>
    <t>ERZİNCANSPOR TESİSLERİ 1 VE 2 NOLU FUTBOL SAHALARINA ORTA ALAN DOĞAL ÇİM YÜZEYİ YENİLEME VE TOHUM EKİMİ</t>
  </si>
  <si>
    <t>ERZİNCANSPOR TESİSLERİ PEYZAJ, ELEKTRİK VE SULAMA SİSTEMİ YAPIMI</t>
  </si>
  <si>
    <t>KARGIN,ÇADIRKAYA,ÜZÜMLÜ,İLİÇ VE ÇAYIRLI İLÇELERİNE KAPALI HALI SAHA YAPIMI</t>
  </si>
  <si>
    <t>KEMAH ANTRENMAN SPOR SALONU</t>
  </si>
  <si>
    <t>KONAKBAŞI,DUMANLI,BAĞPINAR,KARAKAYA KÖYLERİNE AÇIK SAHA, BALIKLI KÖYÜNE KAPALI SAHA YAPIMI</t>
  </si>
  <si>
    <t>OLİMPİK YÜZME HAVUZU ÇATI DEĞİŞİMİ, GÜÇLENDİRME VE GENEL BAKIM ONARIMI</t>
  </si>
  <si>
    <t>OLİMPİK YÜZME HAVUZU ÇATI DEĞİŞİMİ, GÜÇLENDİRME VE GENEL BAKIM ONARIMI İKMALİ</t>
  </si>
  <si>
    <t>REFAHİYE GENÇLİK MERKEZİ VE YÜZME HAVUZU</t>
  </si>
  <si>
    <t xml:space="preserve"> ERZİNCAN İL KÜLTÜR VE TURİZM MÜDÜRLÜĞÜ</t>
  </si>
  <si>
    <t>ERGAN DAĞI MASTIR PLANI VE KENTSEL TASARIM PROJESİ İŞİ</t>
  </si>
  <si>
    <t>ERZİNCAN MÜZESİ ONARIMI TEŞHİR TANZİMİ VE ÇEVRE DÜZENLEMESİ İŞİ</t>
  </si>
  <si>
    <t>İL HALK KÜTÜPHANESİ HİZMET BİNASI YAPIM İŞİ</t>
  </si>
  <si>
    <t>TERCAN İLÇE HALK KÜTÜPHANESİ HİZMET BİNASI ONARIMI İŞİ</t>
  </si>
  <si>
    <t xml:space="preserve"> ERZİNCAN İL MİLLİ EĞİTİM MÜDÜRLÜĞÜ </t>
  </si>
  <si>
    <t>8 OKUL 1 SPOR SALONU 1 DEPO GÜÇLENDİRME ONARIMLARI</t>
  </si>
  <si>
    <t>AKŞEMSEDDİN İLKOKULU</t>
  </si>
  <si>
    <t>AKYAZI İLKOKULU</t>
  </si>
  <si>
    <t>ÇEVRE DOSTU OKUL PROJESİ KAPSAMINDA 8 OKUL ONARIMI</t>
  </si>
  <si>
    <t>DEMİRKENT ATATÜRK İLKOKULU BAHÇESİNE ANAOKULU YAPIM İŞİ</t>
  </si>
  <si>
    <t>DİN ÖĞRETİM GENEL MÜDÜRLÜĞÜNE BAĞLI 2 İMAM HATİP ORTAOKULU ONARIMI</t>
  </si>
  <si>
    <t>ELAATTİN ELMAS ANADOLU İMAM HATİP LİSESİ</t>
  </si>
  <si>
    <t>ERZİNCAN ÖĞRETMENEVİ</t>
  </si>
  <si>
    <t>ERZİNCAN SOSYAL BİLİMLER LİSESİ</t>
  </si>
  <si>
    <t>GÜZEL SANATLAR LİSESİ ATÖLYE BİNASI</t>
  </si>
  <si>
    <t>HAYAT BOYU ÖĞRENME GENEL MÜDÜRLÜĞÜNE BAĞLI 1 HALK EĞİTİM MERKEZİ ONARIMI</t>
  </si>
  <si>
    <t>HAYRETTİN PAŞA İLKOKULU</t>
  </si>
  <si>
    <t>HÜRRİYET MESLEKİ VE TEKNİK ANADOLU LİSESİ</t>
  </si>
  <si>
    <t>KARGIN ÖMER GÜLTEKİN İLKOKULU</t>
  </si>
  <si>
    <t>KEMALİYE 6 DERSLİKLİ İLKOKUL</t>
  </si>
  <si>
    <t>KEMALİYE HACI ALİ AKIN LİSESİ</t>
  </si>
  <si>
    <t>M.ŞEMSETTİN GÜNALTAY İLKOKULU BAHÇESİNE ANAOKULU YAPIM İŞİ</t>
  </si>
  <si>
    <t>MESLEKİ EĞİTİM MERKEZİ</t>
  </si>
  <si>
    <t>MESLEKİ VE TEKNİK ANADOLU LİSESİ (KIZ MESLEK LİSESİ)</t>
  </si>
  <si>
    <t>MESLEKİ VE TEKNİK EĞİTİM GENEL MÜDÜRLÜĞÜNE BAĞLI 9 LİSE ONARIMI</t>
  </si>
  <si>
    <t>MİLLİ EĞİTİM MÜDÜRLÜĞÜ HİZMET BİNASI</t>
  </si>
  <si>
    <t>MİLLİ EĞİTİM MÜDÜRLÜĞÜ YEMEKHANE ONARIMI</t>
  </si>
  <si>
    <t>OKULLARDA ENERJİ VERİMLİLİĞİ PROJESİ KAPSAMINDAKİ OKULLARIN KOMPANZASYON ONARIMI VE 8 OKULUN DOĞALGAZ DÖNÜŞÜM ONARIMI</t>
  </si>
  <si>
    <t>ORTA ÖĞRETİM GENEL MÜDÜRLÜĞÜNE BAĞLI 4 LİSE ONARIMI</t>
  </si>
  <si>
    <t>OSMANGAZİ İLKOKULU BAHÇESİNE ANAOKULU YAPIM İŞİ</t>
  </si>
  <si>
    <t>ÖZEL EĞİTİM VE REHBERLİK HİZMETLERİ GENEL MÜDÜRLÜĞÜNE BAĞLI 2 OKUL ONARIMI</t>
  </si>
  <si>
    <t>REFAHİYE ÇOK PROGRAMLI ANADOLU LİSESİ VE YURT BİNASI</t>
  </si>
  <si>
    <t>ŞEKER FABRİKASI YANINDAKİ TAŞINMAZ ÜZERİNE ANAOKULU</t>
  </si>
  <si>
    <t>TEMEL EĞİTİM GENEL MÜDÜRLÜĞÜNE BAĞLI 12 İLK VE ORTAOKUL ONARIMI</t>
  </si>
  <si>
    <t>TEMEL EĞİTİM GENEL MÜDÜRLÜĞÜNE BAĞLI 5 ANAOKULUNUN ONARIMI</t>
  </si>
  <si>
    <t>TEMEL EĞİTİMDE 10.000 OKUL PROJESİ KAPSAMINDAKİ 25 OKULUN ONARIMI</t>
  </si>
  <si>
    <t>ULALAR 75.YIL BAYRAK İLKOKULU BAHÇESİNE ANAOKULU YAPIM İŞİ</t>
  </si>
  <si>
    <t>VALİ RECEP YAZICIOĞLU İLKOKULU</t>
  </si>
  <si>
    <t>KEMALİYE 16 DAİRELİ LOJMAN</t>
  </si>
  <si>
    <t>KEMAH 16 DAİRELİ LOJMAN</t>
  </si>
  <si>
    <t>KARAAĞAÇ SAĞLIKLI YAŞAM MERKEZİ</t>
  </si>
  <si>
    <t>İLİÇ 8 DAİRELİ LOJMAN</t>
  </si>
  <si>
    <t>ERZİNCAN-TERCAN MERCAN ASM (2 AHB)+112 ASHİ</t>
  </si>
  <si>
    <t>ERZİNCAN MERKEZ İDARİ BİNA KOMPLEKSİ+HALK SAĞLIĞI LABORATUARI+ASM+TSM+SAĞLIKLI YAŞAM MERKEZİ</t>
  </si>
  <si>
    <t>ERZİNCAN MERKEZ DÖRTYOL DEVLET HASTANESİ (500 YATAK KAPASİTELİ)</t>
  </si>
  <si>
    <t>ERZİNCAN MERKEZ DEMİRKENT AİLE SAĞLIĞI MERKEZİ 3 AHB+112ACİL SAĞLIK İSTASYONU</t>
  </si>
  <si>
    <t>ERZİNCAN MERKEZ ASM(4 AHB)</t>
  </si>
  <si>
    <t>ERZİNCAN MERKEZ 3 NOLU ASHİ</t>
  </si>
  <si>
    <t>CUMHURİYET ASM (4 HEKİMLİ)</t>
  </si>
  <si>
    <t>YERLİ HİBRİT ÇEŞİTLERİNİN YAYGINLAŞTIRILMASI</t>
  </si>
  <si>
    <t>TARIMSAL YAYIM HİZMETLERİ PROJESİ</t>
  </si>
  <si>
    <t>TARIM ARAZİLERİNİN KULLANIMININ ETKİNLEŞTİRİLMESİ</t>
  </si>
  <si>
    <t>SUNİ TOHUMLAMANIN GELİŞTİRİLMESİ</t>
  </si>
  <si>
    <t>SULARDA TARIMSAL FAALİYETLERDEN KAYNAKLANAN KİRLİLİĞİN KONTROLÜ PROJESİ</t>
  </si>
  <si>
    <t>SU ÜRÜNLERİ ÜRETİMİNİN GELİŞTİRİLMESİ PROJESİ</t>
  </si>
  <si>
    <t>ORGANİK TARIMIN YAYGINLAŞTIRILMASI VE KONTROLÜ PROJESİ</t>
  </si>
  <si>
    <t>KURUMSAL KAPASİTENİN GELİŞTİRİLMESİ PROJESİ</t>
  </si>
  <si>
    <t>KONTROL HİZMETLERİNİN GELİŞTİRİLMESİ PROJESİ</t>
  </si>
  <si>
    <t>KIRSAL KALKINMA DESTEKLEMELERİNİN İZLENMESİ</t>
  </si>
  <si>
    <t>KADIN ÇİFTÇİLER TARIMSAL YAYIM PROJESİ</t>
  </si>
  <si>
    <t>İYİ TARIM UYGULAMALARININ YAYGINLAŞTIRILMASI VE KONTROLÜ PROJESİ</t>
  </si>
  <si>
    <t>HAYVANSAL ÜRETİMİN ARTIRILMASI</t>
  </si>
  <si>
    <t>HAYVAN HASTALIK VE ZARARLILARI İLE MÜCADELE PROJESİ</t>
  </si>
  <si>
    <t>GIDA VE YEM NUMUNESİ ALMA HİZMETLERİNİN GELİŞTİRİLMESİ</t>
  </si>
  <si>
    <t>GIDA GÜVENLİĞİ VE KONTROL SİSTEMLERİNİN GÜÇLENDİRİLMESİ</t>
  </si>
  <si>
    <t>ERZİNCAN TARIMA DAYALI İHTİSAS (BESİ) OSB</t>
  </si>
  <si>
    <t>ÇAYIR MERA ISLAH VE AMENAJMAN</t>
  </si>
  <si>
    <t>BİTKİ SAĞLIĞI UYG. KONT. PRJ. - BİTKİSEL ÜRETİM KARANTİNA HİZMETLERİ</t>
  </si>
  <si>
    <t>BİTKİ SAĞLIĞI UYG. KONT. PRJ. - BİTKİ SAĞLIĞI HİZMETLERİNİN ETKİNLEŞTİRİLMESİ</t>
  </si>
  <si>
    <t>ARAZİ KULLANIM PLANLAMASI</t>
  </si>
  <si>
    <t xml:space="preserve">ERZİNCAN İL TARIM VE ORMAN MÜDÜRLÜĞÜ </t>
  </si>
  <si>
    <t>ÜZÜMLÜ PİŞKİDAĞ SULAMA KANALI PROJE BEDELİİŞİ.</t>
  </si>
  <si>
    <t>ÜZÜMLÜ KARAKAYA ÇERMİK SULAMA TESİSİ YAPIM</t>
  </si>
  <si>
    <t>TERCAN MUHTELİF KÖYLER KİLİT PARKE İŞİ (28 İŞ)</t>
  </si>
  <si>
    <t>REFAHİYE YURBAŞI KÖYÜ İÇMESUYU VE KANALİZASYON YAPIMI</t>
  </si>
  <si>
    <t>REFAHİYE ÖREN KÖYÜ KİLİT PARKE İŞİ</t>
  </si>
  <si>
    <t>REFAHİYE KOCAÇAYDERESİ EK REGRASYON PROJESİ</t>
  </si>
  <si>
    <t>MERKEZ KÜÇÜKÇAKIRMAN KÖYÜ SULAMA KANALI BORULU SİSTEM</t>
  </si>
  <si>
    <t>MERKEZ ÇATALÖREN İÇMESUYU İKMAL İNŞAATI</t>
  </si>
  <si>
    <t>MERKEZ ÇATALÖREN DEBİ ÖLÇÜM RÖGAR ALIMI</t>
  </si>
  <si>
    <t>MERKEZ ÇATALÖREN DEBİ ÖLÇÜM CİHAZI ALIMI</t>
  </si>
  <si>
    <t>MERKEZ 59.TOPÇU TUGAYI POLİGON BİRLİĞİ MOTOPOMP ALIMI</t>
  </si>
  <si>
    <t>MERKEZ (4İŞ)KONAKBAŞI,ORTAYURT,ULUKÖY,ÜREK SULAMA KANALI YAPIMI</t>
  </si>
  <si>
    <t>KEMAH MUHTELİF KÖYLER İSALE HATTIMERMERLİ KÖYÜ KİLİT PARKE YAPIM</t>
  </si>
  <si>
    <t>İLİÇ İLCE HÜKÜMET KONAĞI YAPIM İŞİ.</t>
  </si>
  <si>
    <t>HARMANTEPE KÖYÜ İSALE HATTI YAPIM İŞİ.</t>
  </si>
  <si>
    <t>ERZZİNCAN REFAHİYE MUHTELİF KÖYLER ASFALT ONARIMI</t>
  </si>
  <si>
    <t>ERZİNCAN(4 İŞ) MERKEZ BALTAŞI,AYDOĞDU-OĞLAKTEPE-GÜMÜŞTARLAİÇME SUYU KAPTAJ ONARIMI</t>
  </si>
  <si>
    <t>ERZİNCAN(3İŞ) MERKEZ KARATUŞKANALİZAYAN ŞEBEKE DEĞ.,DEĞİRMENLİ-YALINCAİÇMESUYU KAPTAJ ONARIMI,GÖYNE KÖYÜ İSHALE HATTI DEĞİŞİMİ</t>
  </si>
  <si>
    <t>ERZİNCAN(2İŞ) REFAHİYEULUCAK KÖYÜ KAPTAJ YAPIMI YURTBAŞI KÖYÜ KANALİZASYON YAPIMI</t>
  </si>
  <si>
    <t>ERZİNCAN(2İŞ) OTLUKBELİ AĞAMÇAM İSALE HATTI YAPIMI VE ÖRDEKHACI KÖYÜ KAPTAJ VE DRENEAJ YAPIMI</t>
  </si>
  <si>
    <t>ERZİNCAN(20 İŞ) KEMALİYE MUHTELİF KÖYLER BORU ALIMI</t>
  </si>
  <si>
    <t>ERZİNCAN ÜZÜMLÜ MUHTELİF KÖYLER KANALİZASYON BAKIM ONARIM İŞİ(4 İŞ)</t>
  </si>
  <si>
    <t>ERZİNCAN ÜZÜMLÜ MERKEZ SULAMATESİSİ VE BASINÇLI SULAMA KANALI ONARIMI İŞİ</t>
  </si>
  <si>
    <t>ERZİNCAN ÜZÜMLÜ KARAKAYA VE BAYIRBAĞ KÖYİÇİ KİLİT PARKE YAPIMI İŞİ(2 İŞ)</t>
  </si>
  <si>
    <t>ERZİNCAN ÜZÜMLÜ KARAKAYA KÖYÜ(ÇINARLI MH.) İÇME SUYU ŞEBEK HATTI YAPIMI</t>
  </si>
  <si>
    <t>ERZİNCAN ÜZÜMLÜ KARAKAYA KÖYÜ İÇME SUYU ŞEBEKE YAPIMI</t>
  </si>
  <si>
    <t>ERZİNCAN ÜZÜMLÜ K.SARIKAYA 2 ADET 10 TONLU SU DEPOSU</t>
  </si>
  <si>
    <t>ERZİNCAN ÜZÜMLÜ GÖLLER KÖYÜ İÇME SUYU DEPO ONARIMI VE ŞEBEKE HATTI İŞİ</t>
  </si>
  <si>
    <t>ERZİNCAN ÜZÜMLÜ BAYIRBAĞ KÖYİÇİ KİLİT PARKE YAPIMI</t>
  </si>
  <si>
    <t>ERZİNCAN TERCAN MUHTELİF KÖYLER KUMLAMA VE ONARIM, GÜZERGAH DEĞİŞİMİ,YOL PLATFORM GENİŞLETİLMESİ (17 İŞ)</t>
  </si>
  <si>
    <t>ERZİNCAN TERCAN MUHTELİF KÖYLER CAMİ ONARIMI,KÖY KONAĞI ONARIMI,KÖY KONAĞI YAPIMI,MEZRALIK ETRAFININ ÇEVRİLMESİ(22 İŞ)</t>
  </si>
  <si>
    <t>ERZİNCAN TERCAN KIZILCA KÖYYOLU BSK YAPIMI</t>
  </si>
  <si>
    <t>ERZİNCAN TERCAN İLÇESİ MUHTELİF KÖYLER KİLİT PARKE VE BORDUR YAPIM İŞİ</t>
  </si>
  <si>
    <t>ERZİNCAN TERCAN ELALDI KÖYÜ GÜNEŞ ENERJİLİ TERFİLİ BİNASI YAPIMI</t>
  </si>
  <si>
    <t>ERZİNCAN REFAHİYE YILDIZÖREN KÖYÜ KİLİT PARKE İŞİ</t>
  </si>
  <si>
    <t>ERZİNCAN REFAHİYE YAYLABELİ KÖYÜ DRENAJ YAPIMI</t>
  </si>
  <si>
    <t>ERZİNCAN REFAHİYE TOYBELEN KÖYÜ İÇME SUYU DEPO ONARIMI</t>
  </si>
  <si>
    <t>ERZİNCAN REFAHİYE SALUR KÖYÜ KAPTAJ,DRENAJ YAPIMI VE FOSEPTİK ONARIMI</t>
  </si>
  <si>
    <t>ERZİNCAN REFAHİYE PINARYOLU-GÜNYÜZÜ SULAMA KANALI TADİLATI(2 İŞ)</t>
  </si>
  <si>
    <t>ERZİNCAN REFAHİYE PINARYOLU KÖYİÇİ YOL KENARI KANAL YAPIMI</t>
  </si>
  <si>
    <t>ERZİNCAN REFAHİYE MUHTELİF KÖYLER ASFALT, KÖPRÜ YAPIMI,YOL GENİŞLETME,VİRAJ YAPIMI,STABİLİZE ÇALIŞMASI,BAKIM-ONARIM ÇALIŞMASI,DOLGU ÇALIŞMASI(17 İŞ)</t>
  </si>
  <si>
    <t>ERZİNCAN REFAHİYE MUHTELİF KÖYLER 2.KAT ASFALT İŞİ(6 İŞ)</t>
  </si>
  <si>
    <t>ERZİNCAN REFAHİYE MUHTELİF KÖYLE KİLİT PARKE İŞİ(6 İŞ)</t>
  </si>
  <si>
    <t>ERZİNCAN REFAHİYE MERKEZ KALKANCI GÖLET YOLU (TURİZM YOLU) 1.KAT ASFALT İŞİ</t>
  </si>
  <si>
    <t>ERZİNCAN REFAHİYE MEDEMEBAŞI/GÖMÜ MEZRASI 10 M3 DEPO YAPIMI</t>
  </si>
  <si>
    <t>ERZİNCAN REFAHİYE EKECEK-KEÇEGÖZ-DOĞANDERE GRUP YOLU BSK YAPIMI</t>
  </si>
  <si>
    <t>ERZİNCAN REFAHİYE ÇALTI KÖYÜ 20M3,GÜLENSUYU KÖYÜ MENGÜCE MEZ. İSALE HATTI ,ARPAYAZI KÖYÜ TAŞDİBİ MEZ. 10M3 DEPO YAPIMI</t>
  </si>
  <si>
    <t>ERZİNCAN OTLUKBELİ UMURLU KÖYÜİÇME SUYU İSALE HATTI VE DEPO YAPIMI</t>
  </si>
  <si>
    <t>ERZİNCAN OTLUKBELİ ÖRDEKHACI KÖYÜ MEZARLIK DUVARI</t>
  </si>
  <si>
    <t>ERZİNCAN OTLUKBELİ MUHTELİF KÖYLER MENFEZ YAPIMI,MEZARLIK YOLU,YOL GENİŞLETME,KUMLAMA,KÖY YOLU BAKIM ONARIM(6 İŞ)</t>
  </si>
  <si>
    <t>ERZİNCAN OTLUKBELİ MUHTELİF KÖYLER CAMİ BAKIM ONARIM VE MEZARLIK DUVARI YAPIM İŞİ(2 İŞ)</t>
  </si>
  <si>
    <t>ERZİNCAN OTLUKBELİ MUHTELİF KÖYLER BORU</t>
  </si>
  <si>
    <t>ERZİNCAN OTLUKBELİ KÇ.OTLUKBELİ KÖYÜ 30M3 DEPO YAPIMI</t>
  </si>
  <si>
    <t>ERZİNCAN OTLUKBELİ BOĞAZLI KÖYÜ CEMEVİ ONARIMI</t>
  </si>
  <si>
    <t>ERZİNCAN MERKEZ(4İŞ)AYDOĞDU,OĞLAKTEPE,GÜMÜŞTARLA SULAMA KANALI,CEVİZLİ KÖYÜ SULAMA BORUSU 30LÜK</t>
  </si>
  <si>
    <t>ERZİNCAN MERKEZ İLÇE KÖYLER KİLİT PARKE YAPIMI(6 İŞ)</t>
  </si>
  <si>
    <t>ERZİNCAN MERKEZ GANİEFENDİ ÇİFTLİĞİ KÖYÜ KİLİT PARKE</t>
  </si>
  <si>
    <t>ERZİNCAN MERKEZ ELMAKÖYÜ İÇME SUYU SONDAJI İÇİN GES YAPIMI</t>
  </si>
  <si>
    <t>ERZİNCAN MERKEZ ÇUKURKUYU,YRŞİLÇAY,YALNIZBAĞ SULAMA KANAL YAPIMI</t>
  </si>
  <si>
    <t>ERZİNCAN MERKEZ BİNKOÇ KÖYÜ BSK YAPIMI</t>
  </si>
  <si>
    <t>ERZİNCAN MERKEZ AYDOĞDU-OĞLAKTEPE-GÜMÜŞTARLA GRUBU İSALE HATTI, TANDIRLI CAFERLİ KÖYLERİ ŞEBEKE YAPIMI,AĞILÖZÜ KÖYÜ İSHALE HATTI VE 75 TONLUK N YAPIMI</t>
  </si>
  <si>
    <t>ERZİNCAN MERKEZ AYDOĞDU KÖYÜ 100M3 DEPO YAPIMI</t>
  </si>
  <si>
    <t>ERZİNCAN KEMELİYE BAŞARI-ASLANOBA-DOLUNAY YOLU 1.KAT ASFALT</t>
  </si>
  <si>
    <t>ERZİNCAN KEMALİYE TUĞLU KÖYÜ İSTİNAT DUVARI</t>
  </si>
  <si>
    <t>ERZİNCAN KEMALİYE OCAK KÖYYOLU BSK YAPIMI</t>
  </si>
  <si>
    <t>ERZİNCAN KEMALİYE MUHTELİF KÖYLER YANGIN SÖNDÜRME İŞİ(3 İŞ)</t>
  </si>
  <si>
    <t>ERZİNCAN KEMALİYE MUHTELİF KÖYLER SOSYAL TESİS ONARIMI,MEZARLIK İHATASI,KÖY KONAĞI YAPIMI,WC YAPIMI,KÖY KONAĞI ONARIMI(10 İŞ)</t>
  </si>
  <si>
    <t>ERZİNCAN KEMALİYE MUHTELİF KÖYLER KİLİT PARKE (2 İŞ)</t>
  </si>
  <si>
    <t>ERZİNCAN KEMALİYE MUHTELİF KÖYLER ÇÖP İMHA ÇUKURU YAPIMI(3 İŞ)</t>
  </si>
  <si>
    <t>ERZİNCAN KEMALİYE MUHTELİF KÖYLER %50 SÜV. TOHUM FİDAN ALIMI</t>
  </si>
  <si>
    <t>ERZİNCAN KEMALİYE KARAPINAR KÖYÜ 30 M3 DEPO YAPIMI</t>
  </si>
  <si>
    <t>ERZİNCAN KEMALİYE İLÇESİ EFELER-KIZILÇUKUR 50 TONLUK İÇMESUYU GÜMÜŞÇEŞME İÇMESUYU DEPO ŞEBEKE YAPIMI YEŞİLYAYLA 30M3 İÇMESUYU DEPOSU(3 İŞ)</t>
  </si>
  <si>
    <t>ERZİNCAN KEMALİYE İLÇESİ BOYLU KÖYÜ İÇMESUYU ÇELİK BORU ALIMI</t>
  </si>
  <si>
    <t>ERZİNCAN KEMALİYE İÇMESUYU DEPO YAPIMI VE SULAMA KANALI HAVUZU ONARIMI</t>
  </si>
  <si>
    <t>ERZİNCAN KEMALİYE GÜLDİBİ İSALE HATTI YAPIMI</t>
  </si>
  <si>
    <t>ERZİNCAN KEMALİYE ESENCE KÖYÜ SULAMA ŞEBEKE ONARIMI</t>
  </si>
  <si>
    <t>ERZİNCAN KEMALİYE DUTLUCA KÖYÜ UMUMİ TUVALET ONARIMI</t>
  </si>
  <si>
    <t>ERZİNCAN KEMALİYE DİLLİ KÖYÜ KANALİZASYON TAMAMLAMA</t>
  </si>
  <si>
    <t>ERZİNCAN KEMALİYE BOYLU KÖYÜ İÇME SUYU TESİSİ YAPIMI</t>
  </si>
  <si>
    <t>ERZİNCAN KEMALİYE AKÇALI KÖYÜ 50 M3 DEPO YAPIMI</t>
  </si>
  <si>
    <t>ERZİNCAN KEMAH TUZLAKÖYÜ-YAĞCA KÖYÜ-GÖLKAYNAK,HAKBİLİR 50 M3 DEPO YAPIMI</t>
  </si>
  <si>
    <t>ERZİNCAN KEMAH OĞUZKÖYÜ SULAMA HAVUZU ONARIMI(2 İŞ)</t>
  </si>
  <si>
    <t>ERZİNCAN KEMAH MUHTELİF KÖYÜ SULAMA KANALI YAPIMI(4 İŞ)</t>
  </si>
  <si>
    <t>ERZİNCAN KEMAH MUHTELİF KÖYLER İÇME SUYU DEPO ONARIMI(4 İŞ)</t>
  </si>
  <si>
    <t>ERZİNCAN KEMAH MUHTELİF KÖYLER ASFALT ONARIMI(9 KÖY, İŞ)</t>
  </si>
  <si>
    <t>ERZİNCAN KEMAH MEZRA KÖYYOLU İSTİNAT DUVARI YAPIMI</t>
  </si>
  <si>
    <t>ERZİNCAN KEMAH KUTLUOVA KÖYÜ İSALE HATTI VE DRENAJ YAPIMI</t>
  </si>
  <si>
    <t>ERZİNCAN KEMAH KERER KÖYÜ KİLİT PARKE ALIMI(2 İŞ)</t>
  </si>
  <si>
    <t>ERZİNCAN KEMAH KARDERE KÖYÜ BORU ALIMI</t>
  </si>
  <si>
    <t>ERZİNCAN KEMAH İLÇESİ MUHTELİF KÖYLER BORU ALIMI</t>
  </si>
  <si>
    <t>ERZİNCAN KEMAH İLÇESİ MUHTELİF KÖYLER ASFALT ONARIMI(10 İŞ)</t>
  </si>
  <si>
    <t>ERZİNCAN KEMAH İLÇESİ KAZANKAYA VE AKTAŞ KÖYÜ SULAMA KANALI( İŞ)</t>
  </si>
  <si>
    <t>ERZİNCAN KEMAH İLÇESİ KARACALAR KÖYÜ KANALİZASYON YAPIMI</t>
  </si>
  <si>
    <t>ERZİNCAN KEMAH İLÇESİ ÇAKIRLAR KÖYÜ KÖY İÇİ İSHALE HATTI YAPIMI</t>
  </si>
  <si>
    <t>ERZİNCAN KEMAH İLÇESİ BOZOĞLAK KÖYÜ İSHALE HATTI</t>
  </si>
  <si>
    <t>ERZİNCAN KEMAH İLÇESİ ALP KÖYÜ KİLİT PARKE YAPIMI</t>
  </si>
  <si>
    <t>ERZİNCAN KEMAH İLÇESİ AĞAÇSARAY,CEVİZLİK,TUZLA,ULUÇINAR,MURATBOYNU İÇME SUYU DEPOSU YAPIMI(5 İŞ)</t>
  </si>
  <si>
    <t>ERZİNCAN KEMAH ESİMLİ VE KERER KÖYÜ DRENAJ YAPIMI</t>
  </si>
  <si>
    <t>ERZİNCAN KEMAH DİKYAMAÇ KÖYÜ 30M3 İÇME SUYU DEPO YAPIMI VEKÖMÜR KÖYÜ ŞEBEKE YAPIMI</t>
  </si>
  <si>
    <t>ERZİNCAN KEMAH ÇİĞDEMLİKÖYÜ SULAMA HAVUZU YAPIMI</t>
  </si>
  <si>
    <t>ERZİNCAN KEMAH AKTAŞ KÖYÜ SULAMA KANALI YAPIMI</t>
  </si>
  <si>
    <t>ERZİNCAN İLİÇ TABANLI KÖYÜ İÇME SUYU ŞEBEKE YAPIMI</t>
  </si>
  <si>
    <t>ERZİNCAN İLİÇ MUHTELİF KÖYLER 30 VE 50M3 İÇME SUYU DEPO YAPIMI(5 İŞ DOSTAL AĞILDERE DORUKSARAY GÜNGÖREN ORTATEPE)</t>
  </si>
  <si>
    <t>ERZİNCAN İLİÇ LEVENTPINAR KÖYÜ SULAMA HAVUZU YAPIMI</t>
  </si>
  <si>
    <t>ERZİNCAN İLİÇ KUZKIŞLA İSTİNAT DUVAR YAPIMI</t>
  </si>
  <si>
    <t>ERZİNCAN İLİÇ K.ARMUTLU SULAMA HAVUZU YAPIMI</t>
  </si>
  <si>
    <t>ERZİNCAN İLİÇ İLÇESİ MUHTELİF KÖYLER KÖY SOSYAL TESİS GELİŞTİRME İŞİ(17 İŞ)</t>
  </si>
  <si>
    <t>ERZİNCAN İLİÇ DOLUGÜN KÖYÜ İSALE HATTI YAPIMI</t>
  </si>
  <si>
    <t>ERZİNCAN İLİÇ BALKAYA VE SABIRLI İSLAMKÖY KÖYÜ KANALİZASYON VE FOSEPTİK YAPIMI(3 İŞ)</t>
  </si>
  <si>
    <t>ERZİNCAN ÇAYRLI İLÇESİ HARMANTEPE ,BALIKLI KÖYÜ KÖY İÇİ İSHALE HATTI YAPIMI(2 İŞ)</t>
  </si>
  <si>
    <t>ERZİNCAN ÇAYIRLI TURNAÇAYIRI KÖPRÜ YAPIMI</t>
  </si>
  <si>
    <t>ERZİNCAN ÇAYIRLI İLÇESİ YAZIKAYA KÖYÜ CAMİ ÇEVRE DÜZENLEMESİ</t>
  </si>
  <si>
    <t>ERZİNCAN ÇAYIRLI İLÇESİ VERİMLİKÖYÜ İMAMEVİ TADİLATI</t>
  </si>
  <si>
    <t>ERZİNCAN ÇAYIRLI İLÇESİ TOSUNLAR KÖYÜ MEZARLIK DUVARI YAPIMI</t>
  </si>
  <si>
    <t>ERZİNCAN ÇAYIRLI İLÇESİ HASTARLA,BOYBEYİ,ÇAYÖNÜ KÖYÜ AŞEVİ YAPIMI(3 İŞ)</t>
  </si>
  <si>
    <t>ERZİNCAN ÇAYIRLI İLÇESİ DOĞANYUVA KÖYÜ KÖY KONAĞI YAPIMI</t>
  </si>
  <si>
    <t>ERZİNCAN ÇAYIRLI İLÇESİ ÇATAKSU BORU ALIMI</t>
  </si>
  <si>
    <t>ERZİNCAN ÇAYIRLI İLÇESİ CENNETPINAR,SARAYCIK,GELİNPIAR,BÖLÜKOVA,SARIGÜNEY KÖYÜ KÖY KONAĞI TADİLATI(5 İŞ)</t>
  </si>
  <si>
    <t>ERZİNCAN ÇAYIRLI İLÇESİ BAŞKÖY KÖY İÇİ SULAMA KANALI YAPIMI</t>
  </si>
  <si>
    <t>ERZİNCAN ÇAYIRLI GELİNPINAR KÖYÜ DRENAJ YAPIMI</t>
  </si>
  <si>
    <t>ERZİNCAN ÇAYIRLI EŞMEPINAR VE PAŞAYURDU KÖYÜ DEPO ONARIMI(2 İŞ)</t>
  </si>
  <si>
    <t>ERZİNCAN (5İŞ)REFAHİYE MUHTELİF KÖYLER İSALE HATTI YAPIMI</t>
  </si>
  <si>
    <t>ERZİNCAN (3İŞ) MERKEZ MUHTELİF KÖYLER SULAMA KANALI YAPIMI</t>
  </si>
  <si>
    <t>ERZİNCAN (3İŞ) KEMALİYE AVCI,KIŞLACIK,YEŞİLYAMAÇ KÖYÜ İÇME SUYU DEPO ONARIMI</t>
  </si>
  <si>
    <t>DAP PROJESİ ÜZÜMLÜ MERKEZ SULAMA KANALI YAPIM İŞİ.</t>
  </si>
  <si>
    <t>DAP PROJESİ ALAÇAYIR KÖYÜ SULAMA KANALI YAPIM İŞİ.</t>
  </si>
  <si>
    <t>DAP ERZİNCAN ÜZÜMLÜ KARAKAYA-SAZTEPE KÖYLERİ SULAMA TESİS YAPIMI(2 İŞ)</t>
  </si>
  <si>
    <t>DAP ERZİNCAN TERCAN BALYAYLA SULAMA TESİSİ YAPIMI</t>
  </si>
  <si>
    <t>DAP ERZİNCAN KEMAH YÜCEBELEN KÖYÜ SULAMA TESİSİ YAPIMI</t>
  </si>
  <si>
    <t>DAP ERZİNCAN ÇAYIRLI YUK. ÇAMURDEREKÖYÜ SULAMA TESİSİ YAPIMI</t>
  </si>
  <si>
    <t>ÇAYIRLI MUHTELİF KÖYLER İSALE HATTI YAPIMI(6İŞ)</t>
  </si>
  <si>
    <t>ÇAYIRLI ÇİLLİGÖL ARITAŞ MEZRASI 30 M3 DEPO YAPIMI</t>
  </si>
  <si>
    <t>ÇAYIRLI ÇAYKENT SULAMA KANALI</t>
  </si>
  <si>
    <t>ÇATALÖREN KÖYÜ İÇME SUYU ÇALIŞMALARI.</t>
  </si>
  <si>
    <t>7İŞ) TERCAN GÖKTAŞ,ÇALKIŞLA /BAHÇECİK MEZ, GEVENLİK, KIZILCA, BULMUŞB, BÜKLÜMDERE, ORTAKÖY KAPTAJ,DRENAJ,İSALE HATTI YAPIMI</t>
  </si>
  <si>
    <t>3(İŞ)ÜZÜMLÜ MUHTELİF KÖYLER MALZEME ALIMI</t>
  </si>
  <si>
    <t>(İŞ) MERKEZ NOHUT YETİŞTİRME VE BUĞDAY YETİŞTİRME GELİŞTRİME PROJESİ</t>
  </si>
  <si>
    <t>(DÖRT İŞ)KEMAH MUHTELİF KÖYLER İSALE HATTI YAPIMI(4 İŞ)</t>
  </si>
  <si>
    <t>(7 İŞ)TERCAN KÜLLÜÇE, DALLICA, ÇAYIRDÜZÜ YALINKAŞ, GÖKPINAR, KIZILCA VE KURUKOL KÖYLERİ KİLİT PARKE İŞİ(7İŞ)</t>
  </si>
  <si>
    <t>(6İŞ)ERZİNCAN TERCAN ESENEVLER ÇİFTELER MEZ. ÇATAKDERE,YAYLIM/İSA MEZRASI,İKİZLER, ÇALKIŞLA YOLLUCA MEZ.TEPEBAŞI İSALE , İÇME SUYU,KAPTAJ,DEPO YAPIMI</t>
  </si>
  <si>
    <t>(6 İŞ) ÇAYIRLI SARAYCIK,SAYGILI AŞAĞIÇAMURDERE, KÜÇÜK GELENGEÇ, SARAYCIK, AŞAĞI ÇAMURDERE KÖYÜ İSALE HATTI VE ŞEBEKE YAPIMI</t>
  </si>
  <si>
    <t>(5 İŞ)ÜZÜMLÜ AVCILAR-ESENYURT- BÜYÜKKÖY KÖYLERİNİN KAPTAJ VE DRENAJ, ÇAKIRYAZI VA BAĞLAR ÇUKOLAR MEZRASI DEPO YAPIMI</t>
  </si>
  <si>
    <t>(4 İŞ)MERKEZ KİLİMLİ BİNKOÇ BEYBAĞI SOĞUKOLUK SULAMA TESİSİ İNŞAATI</t>
  </si>
  <si>
    <t>(3İŞ)ERZİNCAN MERKEZ BALLI GÜNEBAKAN PINARÖNÜ KÖYLER KİLİT PARKE İŞİ(3 İŞ)</t>
  </si>
  <si>
    <t>(3 ADET İŞ) APÇAAĞA-DOLUNAY-YAYLADAMI KÖYÜ İÇME SUYU DEPO YAPIM VE ONARIM İŞİ.</t>
  </si>
  <si>
    <t>(2İŞ)TERCAN KALECİK,BAŞBUDAK KÖYÜ İSALE HATTI VE ŞEBEKE YAPIMI</t>
  </si>
  <si>
    <t>(2İŞ)REFAHİYE YAZIGEDİĞİ KANALİZASYON YAPIMI VE PERÇEM KÖYÜ KANALİZASYON BAKIMI ONARIMI</t>
  </si>
  <si>
    <t>(2İŞ)MERKEZ GÖLPINARI VE PINARÖNÜ İÇMESUYUVENH YAPIMI</t>
  </si>
  <si>
    <t>(2İŞ) TERCAN YALINKAŞ KÖYÜ VE GÖKÇE KÖYÜ İÇMESUYU GES SONDAJ YAPIMI</t>
  </si>
  <si>
    <t>(2İŞ) TERCAN KURUKOL,YALINKAŞ KÖYÜ KANALİZASYONVE FOSEPTİK TAMAMLAMA</t>
  </si>
  <si>
    <t>(2İŞ) TERCAN KONARLI-KARABAŞLAR-PENCERİK-SOMALI MEZ. VE YAYLIM GÖLLÜCE MZÇ İSALE HATTI YAPIMI VE DEPO YAPIMIVE DEPO ONARIMI</t>
  </si>
  <si>
    <t>(2İŞ) TERCAN KALECİK KÖYÜ İSTİNAT DUVARI VE KONARLI/AŞAĞIKONARLI MZ. MENFEZ ONARIMI</t>
  </si>
  <si>
    <t>(2İŞ) REFAHİYE MUHTELİF KÖYLER İSALE HATTI YAPIMI</t>
  </si>
  <si>
    <t>(2İŞ) MERKEZ SELDEN ZARAR GÖREN SULAMA TESİS ONARIMI ÇİMENTO ALIMIVE SULAMA BORUSU ALIMI</t>
  </si>
  <si>
    <t>(2) İŞ KEMALİYE YOL GENİŞLETME İŞİ(2 İŞ)</t>
  </si>
  <si>
    <t>( 4 İŞ) ERZİNCAN MERKEZ AHMETLİ, MECİDİYE VE EKİNCİ KÖYLERİ İÇME SUYU ŞEBEKESİ VE GÜNBAĞI KÖYÜ İSALE HATTI YAPIMI(4 İŞ)</t>
  </si>
  <si>
    <t>PRAFABRİK EK HİZMET BİNASI</t>
  </si>
  <si>
    <t>ÇAĞLAYAN JANDARMA KARAKOL BİNASI PROJESİNİN HAZIRLANMASI</t>
  </si>
  <si>
    <t xml:space="preserve"> ERZİNCAN İL JANDARMA KOMUTANLIĞI </t>
  </si>
  <si>
    <t>ERZİNCAN İL EMNİYET MÜDÜRLÜĞÜ HİZMET BİNASI YAPIM İŞİ</t>
  </si>
  <si>
    <t xml:space="preserve"> ERZİNCAN İL EMNİYET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</si>
</sst>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%0.00;\-%0.00;%0.00"/>
    <numFmt numFmtId="165" formatCode="%#,##0.00;\-%#,##0.00;%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7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%#,##0.00;\-%#,##0.00;%#,##0.00"/>
    </dxf>
    <dxf>
      <numFmt numFmtId="165" formatCode="%#,##0.00;\-%#,##0.00;%#,##0.00"/>
    </dxf>
    <dxf>
      <numFmt numFmtId="165" formatCode="%#,##0.00;\-%#,##0.00;%#,##0.00"/>
    </dxf>
    <dxf>
      <numFmt numFmtId="164" formatCode="%0.00;\-%0.00;%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  <alignment horizontal="center" vertical="bottom" textRotation="0" wrapText="0" indent="0" justifyLastLine="0" shrinkToFit="0" readingOrder="0"/>
    </dxf>
    <dxf>
      <numFmt numFmtId="165" formatCode="%#,##0.00;\-%#,##0.00;%#,##0.00"/>
    </dxf>
    <dxf>
      <numFmt numFmtId="164" formatCode="%0.00;\-%0.00;%0.00"/>
      <alignment horizontal="center" vertical="bottom" textRotation="0" wrapText="0" indent="0" justifyLastLine="0" shrinkToFit="0" readingOrder="0"/>
    </dxf>
    <dxf>
      <numFmt numFmtId="164" formatCode="%0.00;\-%0.00;%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3:K26" totalsRowCount="1">
  <autoFilter ref="A3:K25"/>
  <tableColumns count="11">
    <tableColumn id="1" name="Yatırımcı Kuruluş" dataDxfId="74"/>
    <tableColumn id="2" name="Proje Sayısı" totalsRowFunction="sum" totalsRowDxfId="73"/>
    <tableColumn id="3" name="Toplam Yıl Ödeneği" totalsRowFunction="sum" totalsRowDxfId="72"/>
    <tableColumn id="4" name="Toplam Proje Tutarı" totalsRowFunction="sum" totalsRowDxfId="71"/>
    <tableColumn id="5" name="Önceki Yıllar Toplam Harcaması" totalsRowFunction="sum" totalsRowDxfId="70"/>
    <tableColumn id="6" name="Yılı Harcama Tutarı" totalsRowFunction="sum" totalsRowDxfId="69"/>
    <tableColumn id="7" name="Toplam Harcama Tutarı" totalsRowFunction="sum" totalsRowDxfId="68"/>
    <tableColumn id="8" name="Nakdi Gerçekleşme Oranı" totalsRowLabel="32%" dataDxfId="67" totalsRowDxfId="66"/>
    <tableColumn id="9" name="Dönem Nakdi Gerçekleşme Oranı" totalsRowLabel="48%" dataDxfId="65" totalsRowDxfId="64"/>
    <tableColumn id="10" name="Yılı Harcama Oranı" totalsRowLabel="48%" totalsRowDxfId="63"/>
    <tableColumn id="11" name="Fiziki Gerçekleşme Oranı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112" displayName="Table112" ref="A3:K25" totalsRowCount="1">
  <autoFilter ref="A3:K24"/>
  <tableColumns count="11">
    <tableColumn id="1" name="Proje Adı" dataDxfId="41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113" displayName="Table113" ref="A3:K25" totalsRowCount="1">
  <autoFilter ref="A3:K24"/>
  <tableColumns count="11">
    <tableColumn id="1" name="Proje Adı" dataDxfId="40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114" displayName="Table114" ref="A3:K5" totalsRowCount="1">
  <autoFilter ref="A3:K4"/>
  <tableColumns count="11">
    <tableColumn id="1" name="Proje Adı" dataDxfId="39"/>
    <tableColumn id="2" name="Toplam Yıl Ödeneği" totalsRowFunction="sum" dataDxfId="38" totalsRowDxfId="37"/>
    <tableColumn id="3" name="Toplam Proje Tutarı" totalsRowFunction="sum" dataDxfId="36" totalsRowDxfId="35"/>
    <tableColumn id="4" name="Önceki Yıllar Toplam Harcaması" totalsRowFunction="sum" dataDxfId="34" totalsRowDxfId="33"/>
    <tableColumn id="5" name="Yılı Harcama Tutarı" totalsRowFunction="sum" dataDxfId="32" totalsRowDxfId="31"/>
    <tableColumn id="6" name="Toplam Harcama Tutarı" totalsRowFunction="sum" dataDxfId="30" totalsRowDxfId="29"/>
    <tableColumn id="7" name="Nakdi Gerçekleşme Oranı" dataDxfId="28"/>
    <tableColumn id="8" name="Dönem Nakdi Gerçekleşme Oranı" dataDxfId="27"/>
    <tableColumn id="9" name="Yılı Harcama Oranı" dataDxfId="26"/>
    <tableColumn id="10" name="Fiziki Gerçekleşme Oranı" dataDxfId="25"/>
    <tableColumn id="12" name="İlçe Adı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115" displayName="Table115" ref="A3:K9" totalsRowCount="1">
  <autoFilter ref="A3:K8"/>
  <tableColumns count="11">
    <tableColumn id="1" name="Proje Adı" dataDxfId="24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6" name="Table11617" displayName="Table11617" ref="A3:K5" totalsRowCount="1" headerRowDxfId="23">
  <autoFilter ref="A3:K4"/>
  <tableColumns count="11">
    <tableColumn id="1" name="Proje Adı" dataDxfId="22" totalsRowDxfId="21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Table118" displayName="Table118" ref="A3:K15" totalsRowCount="1">
  <autoFilter ref="A3:K14"/>
  <tableColumns count="11">
    <tableColumn id="1" name="Proje Adı" dataDxfId="20"/>
    <tableColumn id="2" name="Toplam Yıl Ödeneği" totalsRowFunction="sum" totalsRowDxfId="19"/>
    <tableColumn id="3" name="Toplam Proje Tutarı" totalsRowFunction="sum" totalsRowDxfId="18"/>
    <tableColumn id="4" name="Önceki Yıllar Toplam Harcaması" totalsRowFunction="sum" totalsRowDxfId="17"/>
    <tableColumn id="5" name="Yılı Harcama Tutarı" totalsRowFunction="sum" totalsRowDxfId="16"/>
    <tableColumn id="6" name="Toplam Harcama Tutarı" totalsRowFunction="sum" totalsRowDxfId="15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8" name="Table119" displayName="Table119" ref="A3:K8" totalsRowCount="1">
  <autoFilter ref="A3:K7"/>
  <tableColumns count="11">
    <tableColumn id="1" name="Proje Adı" dataDxfId="14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0" name="Table121" displayName="Table121" ref="A2:K36" totalsRowCount="1">
  <autoFilter ref="A2:K35"/>
  <tableColumns count="11">
    <tableColumn id="1" name="Proje Adı" dataDxfId="13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0" name="Table111" displayName="Table111" ref="A3:K16" totalsRowCount="1" headerRowDxfId="12">
  <autoFilter ref="A3:K15"/>
  <tableColumns count="11">
    <tableColumn id="1" name="Proje Adı"/>
    <tableColumn id="2" name="Toplam Yıl Ödeneği" totalsRowFunction="sum" totalsRowDxfId="11"/>
    <tableColumn id="3" name="Toplam Proje Tutarı" totalsRowFunction="sum" totalsRowDxfId="10"/>
    <tableColumn id="4" name="Önceki Yıllar Toplam Harcaması" totalsRowFunction="sum" totalsRowDxfId="9"/>
    <tableColumn id="5" name="Yılı Harcama Tutarı" totalsRowFunction="sum" totalsRowDxfId="8"/>
    <tableColumn id="6" name="Toplam Harcama Tutarı" totalsRowFunction="sum" totalsRowDxfId="7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5" name="Table116" displayName="Table116" ref="A3:K25" totalsRowCount="1">
  <autoFilter ref="A3:K24"/>
  <tableColumns count="11">
    <tableColumn id="1" name="Proje Adı" dataDxfId="6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3:J20" totalsRowCount="1">
  <autoFilter ref="A3:J19"/>
  <tableColumns count="10">
    <tableColumn id="1" name="Proje Adı" dataDxfId="62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9" name="Table120" displayName="Table120" ref="A3:K160" totalsRowCount="1">
  <autoFilter ref="A3:K159"/>
  <tableColumns count="11">
    <tableColumn id="1" name="Proje Adı" dataDxfId="5"/>
    <tableColumn id="2" name="Toplam Yıl Ödeneği" totalsRowFunction="sum" totalsRowDxfId="4"/>
    <tableColumn id="3" name="Toplam Proje Tutarı" totalsRowFunction="sum" totalsRowDxfId="3"/>
    <tableColumn id="4" name="Önceki Yıllar Toplam Harcaması" totalsRowFunction="sum" totalsRowDxfId="2"/>
    <tableColumn id="5" name="Yılı Harcama Tutarı" totalsRowFunction="sum" totalsRowDxfId="1"/>
    <tableColumn id="6" name="Toplam Harcama Tutarı" totalsRowFunction="sum" totalsRowDxfId="0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le122" displayName="Table122" ref="A3:K6" totalsRowCount="1">
  <autoFilter ref="A3:K5"/>
  <tableColumns count="11">
    <tableColumn id="1" name="Proje Adı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le123" displayName="Table123" ref="A3:K5" totalsRowCount="1">
  <autoFilter ref="A3:K4"/>
  <tableColumns count="11">
    <tableColumn id="1" name="Proje Adı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16" displayName="Table16" ref="A3:K13" totalsRowCount="1">
  <autoFilter ref="A3:K12"/>
  <tableColumns count="11">
    <tableColumn id="1" name="Proje Adı" dataDxfId="61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3:K9" totalsRowCount="1">
  <autoFilter ref="A3:K8"/>
  <tableColumns count="11">
    <tableColumn id="1" name="Proje Adı" dataDxfId="60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15" displayName="Table15" ref="A3:K6" totalsRowCount="1">
  <autoFilter ref="A3:K5"/>
  <tableColumns count="11">
    <tableColumn id="1" name="Proje Adı" dataDxfId="59"/>
    <tableColumn id="2" name="Toplam Yıl Ödeneği" totalsRowFunction="sum" totalsRowDxfId="58"/>
    <tableColumn id="3" name="Toplam Proje Tutarı" totalsRowFunction="sum" totalsRowDxfId="57"/>
    <tableColumn id="4" name="Önceki Yıllar Toplam Harcaması" totalsRowFunction="sum" totalsRowDxfId="56"/>
    <tableColumn id="5" name="Yılı Harcama Tutarı" totalsRowFunction="sum" totalsRowDxfId="55"/>
    <tableColumn id="6" name="Toplam Harcama Tutarı" totalsRowFunction="sum" totalsRowDxfId="54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17" displayName="Table17" ref="A3:K6" totalsRowCount="1" headerRowDxfId="53">
  <autoFilter ref="A3:K5"/>
  <tableColumns count="11">
    <tableColumn id="1" name="Proje Adı" dataDxfId="52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3:K40" totalsRowCount="1">
  <autoFilter ref="A3:K39"/>
  <tableColumns count="11">
    <tableColumn id="1" name="Proje Adı" dataDxfId="51"/>
    <tableColumn id="2" name="Toplam Yıl Ödeneği" totalsRowFunction="sum" totalsRowDxfId="50"/>
    <tableColumn id="3" name="Toplam Proje Tutarı" totalsRowFunction="sum" totalsRowDxfId="49"/>
    <tableColumn id="4" name="Önceki Yıllar Toplam Harcaması" totalsRowFunction="sum" totalsRowDxfId="48"/>
    <tableColumn id="5" name="Yılı Harcama Tutarı" totalsRowFunction="sum" totalsRowDxfId="47"/>
    <tableColumn id="6" name="Toplam Harcama Tutarı" totalsRowFunction="sum" totalsRowDxfId="46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A3:K10" totalsRowCount="1">
  <autoFilter ref="A3:K9"/>
  <tableColumns count="11">
    <tableColumn id="1" name="Proje Adı" dataDxfId="45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110" displayName="Table110" ref="A3:K5" totalsRowCount="1" headerRowDxfId="44">
  <autoFilter ref="A3:K4"/>
  <tableColumns count="11">
    <tableColumn id="1" name="Proje Adı" dataDxfId="43" totalsRowDxfId="42"/>
    <tableColumn id="2" name="Toplam Yıl Ödeneği" totalsRowFunction="sum"/>
    <tableColumn id="3" name="Toplam Proje Tutarı" totalsRowFunction="sum"/>
    <tableColumn id="4" name="Önceki Yıllar Toplam Harcaması" totalsRowFunction="sum"/>
    <tableColumn id="5" name="Yılı Harcama Tutarı" totalsRowFunction="sum"/>
    <tableColumn id="6" name="Toplam Harcama Tutarı" totalsRowFunction="sum"/>
    <tableColumn id="7" name="Nakdi Gerçekleşme Oranı"/>
    <tableColumn id="8" name="Dönem Nakdi Gerçekleşme Oranı"/>
    <tableColumn id="9" name="Yılı Harcama Oranı"/>
    <tableColumn id="10" name="Fiziki Gerçekleşme Oranı"/>
    <tableColumn id="12" name="İlçe Adı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22" workbookViewId="0">
      <selection activeCell="A32" sqref="A32"/>
    </sheetView>
  </sheetViews>
  <sheetFormatPr defaultRowHeight="15" x14ac:dyDescent="0.25"/>
  <cols>
    <col min="1" max="1" width="39" customWidth="1"/>
    <col min="3" max="3" width="13.140625" customWidth="1"/>
    <col min="4" max="4" width="14.42578125" customWidth="1"/>
    <col min="5" max="5" width="12.85546875" customWidth="1"/>
    <col min="6" max="6" width="11" customWidth="1"/>
    <col min="7" max="7" width="12.5703125" customWidth="1"/>
  </cols>
  <sheetData>
    <row r="1" spans="1:11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</row>
    <row r="4" spans="1:11" x14ac:dyDescent="0.25">
      <c r="A4" s="11" t="s">
        <v>11</v>
      </c>
      <c r="B4" s="1">
        <v>1</v>
      </c>
      <c r="C4" s="2">
        <v>36749473</v>
      </c>
      <c r="D4" s="3">
        <v>189326000</v>
      </c>
      <c r="E4" s="4">
        <v>0</v>
      </c>
      <c r="F4" s="5">
        <v>0</v>
      </c>
      <c r="G4" s="6">
        <v>0</v>
      </c>
      <c r="H4" s="7">
        <v>0</v>
      </c>
      <c r="I4" s="8">
        <v>0</v>
      </c>
      <c r="J4" s="9">
        <v>0</v>
      </c>
      <c r="K4" s="10">
        <v>0</v>
      </c>
    </row>
    <row r="5" spans="1:11" x14ac:dyDescent="0.25">
      <c r="A5" s="11" t="s">
        <v>12</v>
      </c>
      <c r="B5" s="1">
        <v>2</v>
      </c>
      <c r="C5" s="2">
        <v>3020800</v>
      </c>
      <c r="D5" s="3">
        <v>3020800</v>
      </c>
      <c r="E5" s="4">
        <v>0</v>
      </c>
      <c r="F5" s="5">
        <v>0</v>
      </c>
      <c r="G5" s="6">
        <v>0</v>
      </c>
      <c r="H5" s="7">
        <v>0</v>
      </c>
      <c r="I5" s="8">
        <v>0</v>
      </c>
      <c r="J5" s="9">
        <v>0</v>
      </c>
      <c r="K5" s="10">
        <v>0</v>
      </c>
    </row>
    <row r="6" spans="1:11" ht="30" x14ac:dyDescent="0.25">
      <c r="A6" s="11" t="s">
        <v>13</v>
      </c>
      <c r="B6" s="1">
        <v>1</v>
      </c>
      <c r="C6" s="2">
        <v>120000</v>
      </c>
      <c r="D6" s="3">
        <v>304440</v>
      </c>
      <c r="E6" s="4">
        <v>0</v>
      </c>
      <c r="F6" s="5">
        <v>0</v>
      </c>
      <c r="G6" s="6">
        <v>0</v>
      </c>
      <c r="H6" s="7">
        <v>0</v>
      </c>
      <c r="I6" s="8">
        <v>0</v>
      </c>
      <c r="J6" s="9">
        <v>0</v>
      </c>
      <c r="K6" s="10">
        <v>0.25</v>
      </c>
    </row>
    <row r="7" spans="1:11" x14ac:dyDescent="0.25">
      <c r="A7" s="11" t="s">
        <v>14</v>
      </c>
      <c r="B7" s="1">
        <v>2</v>
      </c>
      <c r="C7" s="2">
        <v>502000</v>
      </c>
      <c r="D7" s="3">
        <v>32400000</v>
      </c>
      <c r="E7" s="4">
        <v>27000</v>
      </c>
      <c r="F7" s="5">
        <v>0</v>
      </c>
      <c r="G7" s="6">
        <v>27000</v>
      </c>
      <c r="H7" s="7">
        <v>8.3333333333333295E-4</v>
      </c>
      <c r="I7" s="8">
        <v>0</v>
      </c>
      <c r="J7" s="9">
        <v>0</v>
      </c>
      <c r="K7" s="10">
        <v>0</v>
      </c>
    </row>
    <row r="8" spans="1:11" ht="30" x14ac:dyDescent="0.25">
      <c r="A8" s="11" t="s">
        <v>15</v>
      </c>
      <c r="B8" s="1">
        <v>21</v>
      </c>
      <c r="C8" s="2">
        <v>3871628</v>
      </c>
      <c r="D8" s="3">
        <v>61631633</v>
      </c>
      <c r="E8" s="4">
        <v>0</v>
      </c>
      <c r="F8" s="5">
        <v>2172768.0499999998</v>
      </c>
      <c r="G8" s="6">
        <v>2172768.0499999998</v>
      </c>
      <c r="H8" s="7">
        <v>3.5254104819841502E-2</v>
      </c>
      <c r="I8" s="8">
        <v>0.12805179371571901</v>
      </c>
      <c r="J8" s="9">
        <v>0.56120269044443305</v>
      </c>
      <c r="K8" s="10">
        <v>0.63666666666666705</v>
      </c>
    </row>
    <row r="9" spans="1:11" x14ac:dyDescent="0.25">
      <c r="A9" s="11" t="s">
        <v>16</v>
      </c>
      <c r="B9" s="1">
        <v>21</v>
      </c>
      <c r="C9" s="2">
        <v>18222978.760000002</v>
      </c>
      <c r="D9" s="3">
        <v>120001289.98999999</v>
      </c>
      <c r="E9" s="4">
        <v>4150340.68</v>
      </c>
      <c r="F9" s="5">
        <v>2010733.86</v>
      </c>
      <c r="G9" s="6">
        <v>6161074.54</v>
      </c>
      <c r="H9" s="7">
        <v>5.1341735913950699E-2</v>
      </c>
      <c r="I9" s="8">
        <v>6.7008898823959398E-2</v>
      </c>
      <c r="J9" s="9">
        <v>0.110340569809236</v>
      </c>
      <c r="K9" s="10">
        <v>0.21916666666666701</v>
      </c>
    </row>
    <row r="10" spans="1:11" x14ac:dyDescent="0.25">
      <c r="A10" s="11" t="s">
        <v>17</v>
      </c>
      <c r="B10" s="1">
        <v>36</v>
      </c>
      <c r="C10" s="2">
        <v>80523330</v>
      </c>
      <c r="D10" s="3">
        <v>2441713319</v>
      </c>
      <c r="E10" s="4">
        <v>137836305</v>
      </c>
      <c r="F10" s="5">
        <v>40122285</v>
      </c>
      <c r="G10" s="6">
        <v>177958590</v>
      </c>
      <c r="H10" s="7">
        <v>7.2882671612277003E-2</v>
      </c>
      <c r="I10" s="8">
        <v>0.31855128197008198</v>
      </c>
      <c r="J10" s="9">
        <v>0.49826907307484702</v>
      </c>
      <c r="K10" s="10">
        <v>0.18540000000000001</v>
      </c>
    </row>
    <row r="11" spans="1:11" x14ac:dyDescent="0.25">
      <c r="A11" s="11" t="s">
        <v>18</v>
      </c>
      <c r="B11" s="1">
        <v>33</v>
      </c>
      <c r="C11" s="2">
        <v>140102788</v>
      </c>
      <c r="D11" s="3">
        <v>290236043</v>
      </c>
      <c r="E11" s="4">
        <v>11283160</v>
      </c>
      <c r="F11" s="5">
        <v>47003139</v>
      </c>
      <c r="G11" s="6">
        <v>58286299</v>
      </c>
      <c r="H11" s="7">
        <v>0.20082377914723701</v>
      </c>
      <c r="I11" s="8">
        <v>0.270753584147091</v>
      </c>
      <c r="J11" s="9">
        <v>0.335490390098447</v>
      </c>
      <c r="K11" s="10">
        <v>0.66360824742267999</v>
      </c>
    </row>
    <row r="12" spans="1:11" ht="30" x14ac:dyDescent="0.25">
      <c r="A12" s="11" t="s">
        <v>19</v>
      </c>
      <c r="B12" s="1">
        <v>5</v>
      </c>
      <c r="C12" s="2">
        <v>5169195.92</v>
      </c>
      <c r="D12" s="3">
        <v>5169195.92</v>
      </c>
      <c r="E12" s="4">
        <v>0</v>
      </c>
      <c r="F12" s="5">
        <v>1178997</v>
      </c>
      <c r="G12" s="6">
        <v>1178997</v>
      </c>
      <c r="H12" s="7">
        <v>0.228081314433909</v>
      </c>
      <c r="I12" s="8">
        <v>0.10526917695160599</v>
      </c>
      <c r="J12" s="9">
        <v>0.228081314433909</v>
      </c>
      <c r="K12" s="10">
        <v>0.6</v>
      </c>
    </row>
    <row r="13" spans="1:11" ht="30" x14ac:dyDescent="0.25">
      <c r="A13" s="11" t="s">
        <v>20</v>
      </c>
      <c r="B13" s="1">
        <v>9</v>
      </c>
      <c r="C13" s="2">
        <v>32054000</v>
      </c>
      <c r="D13" s="3">
        <v>95190000.010000005</v>
      </c>
      <c r="E13" s="4">
        <v>22314861.690000001</v>
      </c>
      <c r="F13" s="5">
        <v>4869044.46</v>
      </c>
      <c r="G13" s="6">
        <v>27183906.149999999</v>
      </c>
      <c r="H13" s="7">
        <v>0.28557523003618301</v>
      </c>
      <c r="I13" s="8">
        <v>5.56783668184938E-2</v>
      </c>
      <c r="J13" s="9">
        <v>0.151901305921258</v>
      </c>
      <c r="K13" s="10">
        <v>0.431111111111111</v>
      </c>
    </row>
    <row r="14" spans="1:11" x14ac:dyDescent="0.25">
      <c r="A14" s="11" t="s">
        <v>21</v>
      </c>
      <c r="B14" s="1">
        <v>436</v>
      </c>
      <c r="C14" s="2">
        <v>89556397</v>
      </c>
      <c r="D14" s="3">
        <v>106675639</v>
      </c>
      <c r="E14" s="4">
        <v>4029899</v>
      </c>
      <c r="F14" s="5">
        <v>47498917</v>
      </c>
      <c r="G14" s="6">
        <v>51528806</v>
      </c>
      <c r="H14" s="7">
        <v>0.313866065087262</v>
      </c>
      <c r="I14" s="8">
        <v>0.330644493077209</v>
      </c>
      <c r="J14" s="9">
        <v>0.33152794277567799</v>
      </c>
      <c r="K14" s="10">
        <v>0.40503144654088102</v>
      </c>
    </row>
    <row r="15" spans="1:11" x14ac:dyDescent="0.25">
      <c r="A15" s="11" t="s">
        <v>22</v>
      </c>
      <c r="B15" s="1">
        <v>21</v>
      </c>
      <c r="C15" s="2">
        <v>435756919.82999998</v>
      </c>
      <c r="D15" s="3">
        <v>9390458813</v>
      </c>
      <c r="E15" s="4">
        <v>3135492803.98</v>
      </c>
      <c r="F15" s="5">
        <v>220593426.61000001</v>
      </c>
      <c r="G15" s="6">
        <v>3356086230.5900002</v>
      </c>
      <c r="H15" s="7">
        <v>0.35739321128206097</v>
      </c>
      <c r="I15" s="8">
        <v>0.21464924475896</v>
      </c>
      <c r="J15" s="9">
        <v>0.50623046146016304</v>
      </c>
      <c r="K15" s="10">
        <v>0.23949999999999999</v>
      </c>
    </row>
    <row r="16" spans="1:11" ht="30" x14ac:dyDescent="0.25">
      <c r="A16" s="11" t="s">
        <v>23</v>
      </c>
      <c r="B16" s="1">
        <v>4</v>
      </c>
      <c r="C16" s="2">
        <v>26105989.219999999</v>
      </c>
      <c r="D16" s="3">
        <v>42595019</v>
      </c>
      <c r="E16" s="4">
        <v>6371472.29</v>
      </c>
      <c r="F16" s="5">
        <v>16170061.82</v>
      </c>
      <c r="G16" s="6">
        <v>22541534.109999999</v>
      </c>
      <c r="H16" s="7">
        <v>0.52920587052678603</v>
      </c>
      <c r="I16" s="8">
        <v>0.38535409385264402</v>
      </c>
      <c r="J16" s="9">
        <v>0.61940046338531396</v>
      </c>
      <c r="K16" s="10">
        <v>0.36249999999999999</v>
      </c>
    </row>
    <row r="17" spans="1:11" x14ac:dyDescent="0.25">
      <c r="A17" s="11" t="s">
        <v>24</v>
      </c>
      <c r="B17" s="1">
        <v>6</v>
      </c>
      <c r="C17" s="2">
        <v>10082000</v>
      </c>
      <c r="D17" s="3">
        <v>10082000</v>
      </c>
      <c r="E17" s="4">
        <v>0</v>
      </c>
      <c r="F17" s="5">
        <v>5408000</v>
      </c>
      <c r="G17" s="6">
        <v>5408000</v>
      </c>
      <c r="H17" s="7">
        <v>0.53640150763737304</v>
      </c>
      <c r="I17" s="8">
        <v>0.45427653243404098</v>
      </c>
      <c r="J17" s="9">
        <v>0.53640150763737304</v>
      </c>
      <c r="K17" s="10">
        <v>0.60666666666666702</v>
      </c>
    </row>
    <row r="18" spans="1:11" ht="30" x14ac:dyDescent="0.25">
      <c r="A18" s="11" t="s">
        <v>25</v>
      </c>
      <c r="B18" s="1">
        <v>5</v>
      </c>
      <c r="C18" s="2">
        <v>21513171.629999999</v>
      </c>
      <c r="D18" s="3">
        <v>51219462.700000003</v>
      </c>
      <c r="E18" s="4">
        <v>21146022.34</v>
      </c>
      <c r="F18" s="5">
        <v>7678229.4900000002</v>
      </c>
      <c r="G18" s="6">
        <v>28824251.829999998</v>
      </c>
      <c r="H18" s="7">
        <v>0.56275974620873903</v>
      </c>
      <c r="I18" s="8">
        <v>0.25537939800278497</v>
      </c>
      <c r="J18" s="9">
        <v>0.356908298881079</v>
      </c>
      <c r="K18" s="10">
        <v>0.67428571428571404</v>
      </c>
    </row>
    <row r="19" spans="1:11" ht="30" x14ac:dyDescent="0.25">
      <c r="A19" s="11" t="s">
        <v>26</v>
      </c>
      <c r="B19" s="1">
        <v>11</v>
      </c>
      <c r="C19" s="2">
        <v>56951899.329999998</v>
      </c>
      <c r="D19" s="3">
        <v>319392248.63999999</v>
      </c>
      <c r="E19" s="4">
        <v>151747402.25</v>
      </c>
      <c r="F19" s="5">
        <v>33719501.710000001</v>
      </c>
      <c r="G19" s="6">
        <v>185466903.96000001</v>
      </c>
      <c r="H19" s="7">
        <v>0.58068692884606399</v>
      </c>
      <c r="I19" s="8">
        <v>0.51059601439283597</v>
      </c>
      <c r="J19" s="9">
        <v>0.59206983624228104</v>
      </c>
      <c r="K19" s="10">
        <v>0.69814814814814796</v>
      </c>
    </row>
    <row r="20" spans="1:11" x14ac:dyDescent="0.25">
      <c r="A20" s="11" t="s">
        <v>27</v>
      </c>
      <c r="B20" s="1">
        <v>1</v>
      </c>
      <c r="C20" s="2">
        <v>9123000</v>
      </c>
      <c r="D20" s="3">
        <v>76395000</v>
      </c>
      <c r="E20" s="4">
        <v>42006668</v>
      </c>
      <c r="F20" s="5">
        <v>9123000</v>
      </c>
      <c r="G20" s="6">
        <v>51129668</v>
      </c>
      <c r="H20" s="7">
        <v>0.66928029321290705</v>
      </c>
      <c r="I20" s="8">
        <v>0.39044174065548598</v>
      </c>
      <c r="J20" s="9">
        <v>1</v>
      </c>
      <c r="K20" s="10">
        <v>0.7</v>
      </c>
    </row>
    <row r="21" spans="1:11" x14ac:dyDescent="0.25">
      <c r="A21" s="11" t="s">
        <v>28</v>
      </c>
      <c r="B21" s="1">
        <v>12</v>
      </c>
      <c r="C21" s="2">
        <v>117137257.79000001</v>
      </c>
      <c r="D21" s="3">
        <v>544759012.00999999</v>
      </c>
      <c r="E21" s="4">
        <v>322157152.81999999</v>
      </c>
      <c r="F21" s="5">
        <v>97188467.790000007</v>
      </c>
      <c r="G21" s="6">
        <v>419345620.61000001</v>
      </c>
      <c r="H21" s="7">
        <v>0.76978188770615896</v>
      </c>
      <c r="I21" s="8">
        <v>0</v>
      </c>
      <c r="J21" s="9">
        <v>0.82969731086104503</v>
      </c>
      <c r="K21" s="10">
        <v>0.151714285714286</v>
      </c>
    </row>
    <row r="22" spans="1:11" ht="30" x14ac:dyDescent="0.25">
      <c r="A22" s="11" t="s">
        <v>29</v>
      </c>
      <c r="B22" s="1">
        <v>1</v>
      </c>
      <c r="C22" s="2">
        <v>600000</v>
      </c>
      <c r="D22" s="3">
        <v>1620373.3</v>
      </c>
      <c r="E22" s="4">
        <v>1020303</v>
      </c>
      <c r="F22" s="5">
        <v>345360.08</v>
      </c>
      <c r="G22" s="6">
        <v>1365663.08</v>
      </c>
      <c r="H22" s="7">
        <v>0.84280769128940802</v>
      </c>
      <c r="I22" s="8">
        <v>1.6666666682188701E-8</v>
      </c>
      <c r="J22" s="9">
        <v>0.57560013333333304</v>
      </c>
      <c r="K22" s="10">
        <v>1</v>
      </c>
    </row>
    <row r="23" spans="1:11" ht="30" x14ac:dyDescent="0.25">
      <c r="A23" s="11" t="s">
        <v>30</v>
      </c>
      <c r="B23" s="1">
        <v>1</v>
      </c>
      <c r="C23" s="2">
        <v>0</v>
      </c>
      <c r="D23" s="3">
        <v>3500000</v>
      </c>
      <c r="E23" s="4">
        <v>3050550</v>
      </c>
      <c r="F23" s="5">
        <v>0</v>
      </c>
      <c r="G23" s="6">
        <v>3050550</v>
      </c>
      <c r="H23" s="7">
        <v>0.87158571428571396</v>
      </c>
      <c r="I23" s="8">
        <v>0</v>
      </c>
      <c r="J23" s="9">
        <v>0</v>
      </c>
      <c r="K23" s="10">
        <v>0.98</v>
      </c>
    </row>
    <row r="24" spans="1:11" x14ac:dyDescent="0.25">
      <c r="A24" s="11" t="s">
        <v>31</v>
      </c>
      <c r="B24" s="1">
        <v>16</v>
      </c>
      <c r="C24" s="2">
        <v>31990311.66</v>
      </c>
      <c r="D24" s="3">
        <v>162883721.58000001</v>
      </c>
      <c r="E24" s="4">
        <v>130893409.92</v>
      </c>
      <c r="F24" s="5">
        <v>15371342.15</v>
      </c>
      <c r="G24" s="6">
        <v>146264752.06999999</v>
      </c>
      <c r="H24" s="7">
        <v>0.89797034750438398</v>
      </c>
      <c r="I24" s="8">
        <v>0.154116740168076</v>
      </c>
      <c r="J24" s="9">
        <v>0.48049991864318098</v>
      </c>
      <c r="K24" s="10">
        <v>0.94499999999999995</v>
      </c>
    </row>
    <row r="25" spans="1:11" x14ac:dyDescent="0.25">
      <c r="A25" s="11" t="s">
        <v>32</v>
      </c>
      <c r="B25" s="1">
        <v>2</v>
      </c>
      <c r="C25" s="2">
        <v>301440</v>
      </c>
      <c r="D25" s="3">
        <v>301440</v>
      </c>
      <c r="E25" s="4">
        <v>0</v>
      </c>
      <c r="F25" s="5">
        <v>301440</v>
      </c>
      <c r="G25" s="6">
        <v>301440</v>
      </c>
      <c r="H25" s="7">
        <v>1</v>
      </c>
      <c r="I25" s="8">
        <v>0</v>
      </c>
      <c r="J25" s="9">
        <v>1</v>
      </c>
      <c r="K25" s="10">
        <v>0.5</v>
      </c>
    </row>
    <row r="26" spans="1:11" x14ac:dyDescent="0.25">
      <c r="B26" s="6">
        <f>SUBTOTAL(109,Table1[Proje Sayısı])</f>
        <v>647</v>
      </c>
      <c r="C26" s="6">
        <f>SUBTOTAL(109,Table1[Toplam Yıl Ödeneği])</f>
        <v>1119454580.1400001</v>
      </c>
      <c r="D26" s="6">
        <f>SUBTOTAL(109,Table1[Toplam Proje Tutarı])</f>
        <v>13948875450.15</v>
      </c>
      <c r="E26" s="6">
        <f>SUBTOTAL(109,Table1[Önceki Yıllar Toplam Harcaması])</f>
        <v>3993527350.9700003</v>
      </c>
      <c r="F26" s="6">
        <f>SUBTOTAL(109,Table1[Yılı Harcama Tutarı])</f>
        <v>550754714.01999998</v>
      </c>
      <c r="G26" s="6">
        <f>SUBTOTAL(109,Table1[Toplam Harcama Tutarı])</f>
        <v>4544282054.9899998</v>
      </c>
      <c r="H26" s="12" t="s">
        <v>34</v>
      </c>
      <c r="I26" s="13" t="s">
        <v>35</v>
      </c>
      <c r="J26" s="14" t="s">
        <v>35</v>
      </c>
    </row>
  </sheetData>
  <mergeCells count="1">
    <mergeCell ref="A1:K1"/>
  </mergeCells>
  <pageMargins left="0.7" right="0.7" top="0.75" bottom="0.75" header="0.3" footer="0.3"/>
  <pageSetup paperSize="9" scale="78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22" workbookViewId="0">
      <selection activeCell="P11" sqref="P11"/>
    </sheetView>
  </sheetViews>
  <sheetFormatPr defaultRowHeight="15" x14ac:dyDescent="0.25"/>
  <cols>
    <col min="1" max="1" width="61.85546875" customWidth="1"/>
    <col min="2" max="2" width="13.28515625" customWidth="1"/>
    <col min="3" max="3" width="15" customWidth="1"/>
    <col min="4" max="4" width="13.42578125" customWidth="1"/>
    <col min="5" max="5" width="11.85546875" customWidth="1"/>
    <col min="6" max="6" width="13.28515625" customWidth="1"/>
  </cols>
  <sheetData>
    <row r="1" spans="1:13" x14ac:dyDescent="0.25">
      <c r="A1" s="15" t="s">
        <v>129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75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3" ht="48" customHeight="1" x14ac:dyDescent="0.25">
      <c r="A4" s="11" t="s">
        <v>130</v>
      </c>
      <c r="B4" s="6">
        <v>11000</v>
      </c>
      <c r="C4" s="6">
        <v>115000000</v>
      </c>
      <c r="D4" s="6">
        <v>2500118.46</v>
      </c>
      <c r="E4" s="6">
        <v>0</v>
      </c>
      <c r="F4" s="6">
        <v>2500118.46</v>
      </c>
      <c r="G4" s="7">
        <v>2.1740160521739101E-2</v>
      </c>
      <c r="H4" s="10">
        <v>0</v>
      </c>
      <c r="I4" s="10">
        <v>0</v>
      </c>
      <c r="J4" s="10">
        <v>0.03</v>
      </c>
      <c r="K4" t="s">
        <v>109</v>
      </c>
    </row>
    <row r="5" spans="1:13" ht="48" customHeight="1" x14ac:dyDescent="0.25">
      <c r="A5" s="11" t="s">
        <v>131</v>
      </c>
      <c r="B5" s="6">
        <v>33871332.100000001</v>
      </c>
      <c r="C5" s="6">
        <v>199244394.72999999</v>
      </c>
      <c r="D5" s="6">
        <v>0</v>
      </c>
      <c r="E5" s="6">
        <v>33871332.100000001</v>
      </c>
      <c r="F5" s="6">
        <v>33871332.100000001</v>
      </c>
      <c r="G5" s="7">
        <v>0.16999892090264199</v>
      </c>
      <c r="H5" s="10">
        <v>0.43475863442642698</v>
      </c>
      <c r="I5" s="10">
        <v>1</v>
      </c>
      <c r="J5" s="10">
        <v>0.17</v>
      </c>
      <c r="K5" t="s">
        <v>56</v>
      </c>
    </row>
    <row r="6" spans="1:13" ht="48" customHeight="1" x14ac:dyDescent="0.25">
      <c r="A6" s="11" t="s">
        <v>132</v>
      </c>
      <c r="B6" s="6">
        <v>4706799.05</v>
      </c>
      <c r="C6" s="6">
        <v>61000000</v>
      </c>
      <c r="D6" s="6">
        <v>27428639.309999999</v>
      </c>
      <c r="E6" s="6">
        <v>4706799.05</v>
      </c>
      <c r="F6" s="6">
        <v>32135438.359999999</v>
      </c>
      <c r="G6" s="7">
        <v>0.52681046491803296</v>
      </c>
      <c r="H6" s="10">
        <v>0.46460437481391997</v>
      </c>
      <c r="I6" s="10">
        <v>1</v>
      </c>
      <c r="J6" s="10">
        <v>0.55000000000000004</v>
      </c>
      <c r="K6" t="s">
        <v>86</v>
      </c>
    </row>
    <row r="7" spans="1:13" ht="48" customHeight="1" x14ac:dyDescent="0.25">
      <c r="A7" s="11" t="s">
        <v>133</v>
      </c>
      <c r="B7" s="6">
        <v>4697992.13</v>
      </c>
      <c r="C7" s="6">
        <v>182000000</v>
      </c>
      <c r="D7" s="6">
        <v>92270863.379999995</v>
      </c>
      <c r="E7" s="6">
        <v>4697992.13</v>
      </c>
      <c r="F7" s="6">
        <v>96968855.510000005</v>
      </c>
      <c r="G7" s="7">
        <v>0.53279590939560395</v>
      </c>
      <c r="H7" s="10">
        <v>0.44125124790279302</v>
      </c>
      <c r="I7" s="10">
        <v>1</v>
      </c>
      <c r="J7" s="10">
        <v>0.56000000000000005</v>
      </c>
      <c r="K7" t="s">
        <v>86</v>
      </c>
    </row>
    <row r="8" spans="1:13" ht="29.25" customHeight="1" x14ac:dyDescent="0.25">
      <c r="A8" s="11" t="s">
        <v>134</v>
      </c>
      <c r="B8" s="6">
        <v>11000</v>
      </c>
      <c r="C8" s="6">
        <v>2150000000</v>
      </c>
      <c r="D8" s="6">
        <v>2094303728.2</v>
      </c>
      <c r="E8" s="6">
        <v>0</v>
      </c>
      <c r="F8" s="6">
        <v>2094303728.2</v>
      </c>
      <c r="G8" s="7">
        <v>0.97409475730232598</v>
      </c>
      <c r="H8" s="10">
        <v>0</v>
      </c>
      <c r="I8" s="10">
        <v>0</v>
      </c>
      <c r="J8" s="10">
        <v>1</v>
      </c>
      <c r="K8" t="s">
        <v>86</v>
      </c>
    </row>
    <row r="9" spans="1:13" ht="29.25" customHeight="1" x14ac:dyDescent="0.25">
      <c r="A9" s="11" t="s">
        <v>135</v>
      </c>
      <c r="B9" s="6">
        <v>327435.55</v>
      </c>
      <c r="C9" s="6">
        <v>8531762.5999999996</v>
      </c>
      <c r="D9" s="6">
        <v>0</v>
      </c>
      <c r="E9" s="6">
        <v>327435.55</v>
      </c>
      <c r="F9" s="6">
        <v>327435.55</v>
      </c>
      <c r="G9" s="7">
        <v>3.8378417842990599E-2</v>
      </c>
      <c r="H9" s="10">
        <v>3.35567717066763E-2</v>
      </c>
      <c r="I9" s="10">
        <v>1</v>
      </c>
      <c r="J9" s="10">
        <v>0.04</v>
      </c>
      <c r="K9" t="s">
        <v>56</v>
      </c>
    </row>
    <row r="10" spans="1:13" ht="30.75" customHeight="1" x14ac:dyDescent="0.25">
      <c r="A10" s="11" t="s">
        <v>136</v>
      </c>
      <c r="B10" s="6">
        <v>6197.18</v>
      </c>
      <c r="C10" s="6">
        <v>733652213.51999998</v>
      </c>
      <c r="D10" s="6">
        <v>0</v>
      </c>
      <c r="E10" s="6">
        <v>0</v>
      </c>
      <c r="F10" s="6">
        <v>0</v>
      </c>
      <c r="G10" s="7">
        <v>0</v>
      </c>
      <c r="H10" s="10">
        <v>0</v>
      </c>
      <c r="I10" s="10">
        <v>0</v>
      </c>
      <c r="J10" s="10">
        <v>0</v>
      </c>
      <c r="K10" t="s">
        <v>109</v>
      </c>
    </row>
    <row r="11" spans="1:13" ht="48" customHeight="1" x14ac:dyDescent="0.25">
      <c r="A11" s="11" t="s">
        <v>137</v>
      </c>
      <c r="B11" s="6">
        <v>1929284.09</v>
      </c>
      <c r="C11" s="6">
        <v>2564000</v>
      </c>
      <c r="D11" s="6">
        <v>0</v>
      </c>
      <c r="E11" s="6">
        <v>1929284.09</v>
      </c>
      <c r="F11" s="6">
        <v>1929284.09</v>
      </c>
      <c r="G11" s="7">
        <v>0.752450893135725</v>
      </c>
      <c r="H11" s="10">
        <v>0.60735538953208301</v>
      </c>
      <c r="I11" s="10">
        <v>1</v>
      </c>
      <c r="J11" s="10">
        <v>0.75</v>
      </c>
      <c r="K11" t="s">
        <v>56</v>
      </c>
    </row>
    <row r="12" spans="1:13" ht="27.75" customHeight="1" x14ac:dyDescent="0.25">
      <c r="A12" s="11" t="s">
        <v>138</v>
      </c>
      <c r="B12" s="6">
        <v>1325532.0900000001</v>
      </c>
      <c r="C12" s="6">
        <v>2000000</v>
      </c>
      <c r="D12" s="6">
        <v>0</v>
      </c>
      <c r="E12" s="6">
        <v>1325532.0900000001</v>
      </c>
      <c r="F12" s="6">
        <v>1325532.0900000001</v>
      </c>
      <c r="G12" s="7">
        <v>0.66276604500000003</v>
      </c>
      <c r="H12" s="10">
        <v>0.282912713188256</v>
      </c>
      <c r="I12" s="10">
        <v>1</v>
      </c>
      <c r="J12" s="10">
        <v>0.66</v>
      </c>
      <c r="K12" t="s">
        <v>56</v>
      </c>
    </row>
    <row r="13" spans="1:13" ht="48" customHeight="1" x14ac:dyDescent="0.25">
      <c r="A13" s="11" t="s">
        <v>139</v>
      </c>
      <c r="B13" s="6">
        <v>0</v>
      </c>
      <c r="C13" s="6">
        <v>8000000</v>
      </c>
      <c r="D13" s="6">
        <v>0</v>
      </c>
      <c r="E13" s="6">
        <v>0</v>
      </c>
      <c r="F13" s="6">
        <v>0</v>
      </c>
      <c r="G13" s="7">
        <v>0</v>
      </c>
      <c r="H13" s="10">
        <v>0</v>
      </c>
      <c r="I13" s="10">
        <v>0</v>
      </c>
      <c r="J13" s="10">
        <v>0</v>
      </c>
      <c r="K13" t="s">
        <v>78</v>
      </c>
    </row>
    <row r="14" spans="1:13" ht="48" customHeight="1" x14ac:dyDescent="0.25">
      <c r="A14" s="11" t="s">
        <v>140</v>
      </c>
      <c r="B14" s="6">
        <v>0</v>
      </c>
      <c r="C14" s="6">
        <v>12000000</v>
      </c>
      <c r="D14" s="6">
        <v>0</v>
      </c>
      <c r="E14" s="6">
        <v>0</v>
      </c>
      <c r="F14" s="6">
        <v>0</v>
      </c>
      <c r="G14" s="7">
        <v>0</v>
      </c>
      <c r="H14" s="10">
        <v>0</v>
      </c>
      <c r="I14" s="10">
        <v>0</v>
      </c>
      <c r="J14" s="10">
        <v>0</v>
      </c>
      <c r="K14" t="s">
        <v>80</v>
      </c>
    </row>
    <row r="15" spans="1:13" ht="23.25" customHeight="1" x14ac:dyDescent="0.25">
      <c r="A15" s="11" t="s">
        <v>141</v>
      </c>
      <c r="B15" s="6">
        <v>2000</v>
      </c>
      <c r="C15" s="6">
        <v>25000000</v>
      </c>
      <c r="D15" s="6">
        <v>0</v>
      </c>
      <c r="E15" s="6">
        <v>0</v>
      </c>
      <c r="F15" s="6">
        <v>0</v>
      </c>
      <c r="G15" s="7">
        <v>0</v>
      </c>
      <c r="H15" s="10">
        <v>0</v>
      </c>
      <c r="I15" s="10">
        <v>0</v>
      </c>
      <c r="J15" s="10">
        <v>0</v>
      </c>
      <c r="K15" t="s">
        <v>86</v>
      </c>
    </row>
    <row r="16" spans="1:13" ht="48" customHeight="1" x14ac:dyDescent="0.25">
      <c r="A16" s="11" t="s">
        <v>142</v>
      </c>
      <c r="B16" s="6">
        <v>212502821</v>
      </c>
      <c r="C16" s="6">
        <v>2670000000</v>
      </c>
      <c r="D16" s="6">
        <v>211618489.87</v>
      </c>
      <c r="E16" s="6">
        <v>25153998.829999998</v>
      </c>
      <c r="F16" s="6">
        <v>236772488.69999999</v>
      </c>
      <c r="G16" s="7">
        <v>8.8678834719101096E-2</v>
      </c>
      <c r="H16" s="10">
        <v>4.6309971997971697E-2</v>
      </c>
      <c r="I16" s="10">
        <v>0.11837018780094199</v>
      </c>
      <c r="J16" s="10">
        <v>0.11</v>
      </c>
      <c r="K16" t="s">
        <v>80</v>
      </c>
    </row>
    <row r="17" spans="1:11" ht="48" customHeight="1" x14ac:dyDescent="0.25">
      <c r="A17" s="11" t="s">
        <v>143</v>
      </c>
      <c r="B17" s="6">
        <v>30000000</v>
      </c>
      <c r="C17" s="6">
        <v>1200000000</v>
      </c>
      <c r="D17" s="6">
        <v>0</v>
      </c>
      <c r="E17" s="6">
        <v>20415997.559999999</v>
      </c>
      <c r="F17" s="6">
        <v>20415997.559999999</v>
      </c>
      <c r="G17" s="7">
        <v>1.70133313E-2</v>
      </c>
      <c r="H17" s="10">
        <v>0.179999982</v>
      </c>
      <c r="I17" s="10">
        <v>0.68053325200000003</v>
      </c>
      <c r="J17" s="10">
        <v>0.02</v>
      </c>
      <c r="K17" t="s">
        <v>86</v>
      </c>
    </row>
    <row r="18" spans="1:11" ht="48" customHeight="1" x14ac:dyDescent="0.25">
      <c r="A18" s="11" t="s">
        <v>144</v>
      </c>
      <c r="B18" s="6">
        <v>4370042</v>
      </c>
      <c r="C18" s="6">
        <v>140000000</v>
      </c>
      <c r="D18" s="6">
        <v>1492290.19</v>
      </c>
      <c r="E18" s="6">
        <v>1313999.83</v>
      </c>
      <c r="F18" s="6">
        <v>2806290.02</v>
      </c>
      <c r="G18" s="7">
        <v>2.00449287142857E-2</v>
      </c>
      <c r="H18" s="10">
        <v>0.16590228652264699</v>
      </c>
      <c r="I18" s="10">
        <v>0.300683570089258</v>
      </c>
      <c r="J18" s="10">
        <v>0.02</v>
      </c>
      <c r="K18" t="s">
        <v>56</v>
      </c>
    </row>
    <row r="19" spans="1:11" ht="26.25" customHeight="1" x14ac:dyDescent="0.25">
      <c r="A19" s="11" t="s">
        <v>145</v>
      </c>
      <c r="B19" s="6">
        <v>11000</v>
      </c>
      <c r="C19" s="6">
        <v>68193466</v>
      </c>
      <c r="D19" s="6">
        <v>0</v>
      </c>
      <c r="E19" s="6">
        <v>0</v>
      </c>
      <c r="F19" s="6">
        <v>0</v>
      </c>
      <c r="G19" s="7">
        <v>0</v>
      </c>
      <c r="H19" s="10">
        <v>0</v>
      </c>
      <c r="I19" s="10">
        <v>0</v>
      </c>
      <c r="J19" s="10">
        <v>0</v>
      </c>
      <c r="K19" t="s">
        <v>86</v>
      </c>
    </row>
    <row r="20" spans="1:11" ht="48" customHeight="1" x14ac:dyDescent="0.25">
      <c r="A20" s="11" t="s">
        <v>146</v>
      </c>
      <c r="B20" s="6">
        <v>104727547.56999999</v>
      </c>
      <c r="C20" s="6">
        <v>1525330000</v>
      </c>
      <c r="D20" s="6">
        <v>663556402.15999997</v>
      </c>
      <c r="E20" s="6">
        <v>104727547.56999999</v>
      </c>
      <c r="F20" s="6">
        <v>768283949.73000002</v>
      </c>
      <c r="G20" s="7">
        <v>0.50368376005847904</v>
      </c>
      <c r="H20" s="10">
        <v>0.498823374958555</v>
      </c>
      <c r="I20" s="10">
        <v>1</v>
      </c>
      <c r="J20" s="10">
        <v>0</v>
      </c>
      <c r="K20" t="s">
        <v>86</v>
      </c>
    </row>
    <row r="21" spans="1:11" ht="48" customHeight="1" x14ac:dyDescent="0.25">
      <c r="A21" s="11" t="s">
        <v>147</v>
      </c>
      <c r="B21" s="6">
        <v>4549998.72</v>
      </c>
      <c r="C21" s="6">
        <v>80000000</v>
      </c>
      <c r="D21" s="6">
        <v>35738822.07</v>
      </c>
      <c r="E21" s="6">
        <v>4549998.72</v>
      </c>
      <c r="F21" s="6">
        <v>40288820.789999999</v>
      </c>
      <c r="G21" s="7">
        <v>0.50361025987499997</v>
      </c>
      <c r="H21" s="10">
        <v>0.61010986394299505</v>
      </c>
      <c r="I21" s="10">
        <v>1</v>
      </c>
      <c r="J21" s="10">
        <v>0.5</v>
      </c>
      <c r="K21" t="s">
        <v>86</v>
      </c>
    </row>
    <row r="22" spans="1:11" ht="48" customHeight="1" x14ac:dyDescent="0.25">
      <c r="A22" s="11" t="s">
        <v>148</v>
      </c>
      <c r="B22" s="6">
        <v>21308000</v>
      </c>
      <c r="C22" s="6">
        <v>33851754.57</v>
      </c>
      <c r="D22" s="6">
        <v>0</v>
      </c>
      <c r="E22" s="6">
        <v>6174570.7400000002</v>
      </c>
      <c r="F22" s="6">
        <v>6174570.7400000002</v>
      </c>
      <c r="G22" s="7">
        <v>0.182400316274064</v>
      </c>
      <c r="H22" s="10">
        <v>7.1546958888680304E-2</v>
      </c>
      <c r="I22" s="10">
        <v>0.28977711376009002</v>
      </c>
      <c r="J22" s="10">
        <v>0.18</v>
      </c>
      <c r="K22" t="s">
        <v>56</v>
      </c>
    </row>
    <row r="23" spans="1:11" ht="27.75" customHeight="1" x14ac:dyDescent="0.25">
      <c r="A23" s="11" t="s">
        <v>149</v>
      </c>
      <c r="B23" s="6">
        <v>6693558.04</v>
      </c>
      <c r="C23" s="6">
        <v>41091221.579999998</v>
      </c>
      <c r="D23" s="6">
        <v>0</v>
      </c>
      <c r="E23" s="6">
        <v>6693558.04</v>
      </c>
      <c r="F23" s="6">
        <v>6693558.04</v>
      </c>
      <c r="G23" s="7">
        <v>0.162895085194009</v>
      </c>
      <c r="H23" s="10">
        <v>0.40983766086832901</v>
      </c>
      <c r="I23" s="10">
        <v>1</v>
      </c>
      <c r="J23" s="10">
        <v>0.11</v>
      </c>
      <c r="K23" t="s">
        <v>56</v>
      </c>
    </row>
    <row r="24" spans="1:11" ht="27.75" customHeight="1" x14ac:dyDescent="0.25">
      <c r="A24" s="11" t="s">
        <v>150</v>
      </c>
      <c r="B24" s="6">
        <v>4705380.3099999996</v>
      </c>
      <c r="C24" s="6">
        <v>133000000</v>
      </c>
      <c r="D24" s="6">
        <v>6583450.3399999999</v>
      </c>
      <c r="E24" s="6">
        <v>4705380.3099999996</v>
      </c>
      <c r="F24" s="6">
        <v>11288830.65</v>
      </c>
      <c r="G24" s="7">
        <v>8.4878425939849594E-2</v>
      </c>
      <c r="H24" s="10">
        <v>0.45442384868567598</v>
      </c>
      <c r="I24" s="10">
        <v>1</v>
      </c>
      <c r="J24" s="10">
        <v>0.09</v>
      </c>
      <c r="K24" t="s">
        <v>80</v>
      </c>
    </row>
    <row r="25" spans="1:11" x14ac:dyDescent="0.25">
      <c r="B25" s="6">
        <f>SUBTOTAL(109,Table112[Toplam Yıl Ödeneği])</f>
        <v>435756919.83000004</v>
      </c>
      <c r="C25" s="6">
        <f>SUBTOTAL(109,Table112[Toplam Proje Tutarı])</f>
        <v>9390458813</v>
      </c>
      <c r="D25" s="6">
        <f>SUBTOTAL(109,Table112[Önceki Yıllar Toplam Harcaması])</f>
        <v>3135492803.98</v>
      </c>
      <c r="E25" s="6">
        <f>SUBTOTAL(109,Table112[Yılı Harcama Tutarı])</f>
        <v>220593426.61000001</v>
      </c>
      <c r="F25" s="6">
        <f>SUBTOTAL(109,Table112[Toplam Harcama Tutarı])</f>
        <v>3356086230.5900002</v>
      </c>
    </row>
  </sheetData>
  <mergeCells count="1">
    <mergeCell ref="A1:M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32" sqref="G32"/>
    </sheetView>
  </sheetViews>
  <sheetFormatPr defaultRowHeight="15" x14ac:dyDescent="0.25"/>
  <cols>
    <col min="1" max="1" width="34.85546875" customWidth="1"/>
    <col min="2" max="2" width="16.140625" customWidth="1"/>
    <col min="3" max="3" width="13.42578125" customWidth="1"/>
  </cols>
  <sheetData>
    <row r="1" spans="1:12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32.25" customHeight="1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32.25" customHeight="1" x14ac:dyDescent="0.25">
      <c r="A4" s="11" t="s">
        <v>151</v>
      </c>
      <c r="B4" s="6">
        <v>500000</v>
      </c>
      <c r="C4" s="6">
        <v>6118031.3099999996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</v>
      </c>
      <c r="K4" t="s">
        <v>56</v>
      </c>
    </row>
    <row r="5" spans="1:12" ht="32.25" customHeight="1" x14ac:dyDescent="0.25">
      <c r="A5" s="11" t="s">
        <v>152</v>
      </c>
      <c r="B5" s="6">
        <v>100000</v>
      </c>
      <c r="C5" s="6">
        <v>44419799.289999999</v>
      </c>
      <c r="D5" s="6">
        <v>0</v>
      </c>
      <c r="E5" s="6">
        <v>0</v>
      </c>
      <c r="F5" s="6">
        <v>0</v>
      </c>
      <c r="G5" s="7">
        <v>0</v>
      </c>
      <c r="H5" s="10">
        <v>0</v>
      </c>
      <c r="I5" s="10">
        <v>0</v>
      </c>
      <c r="J5" s="10">
        <v>0</v>
      </c>
      <c r="K5" t="s">
        <v>56</v>
      </c>
    </row>
    <row r="6" spans="1:12" ht="32.25" customHeight="1" x14ac:dyDescent="0.25">
      <c r="A6" s="11" t="s">
        <v>153</v>
      </c>
      <c r="B6" s="6">
        <v>0</v>
      </c>
      <c r="C6" s="6">
        <v>227488.95</v>
      </c>
      <c r="D6" s="6">
        <v>0</v>
      </c>
      <c r="E6" s="6">
        <v>0</v>
      </c>
      <c r="F6" s="6">
        <v>0</v>
      </c>
      <c r="G6" s="7">
        <v>0</v>
      </c>
      <c r="H6" s="10">
        <v>0</v>
      </c>
      <c r="I6" s="10">
        <v>0</v>
      </c>
      <c r="J6" s="10">
        <v>0</v>
      </c>
      <c r="K6" t="s">
        <v>56</v>
      </c>
    </row>
    <row r="7" spans="1:12" ht="32.25" customHeight="1" x14ac:dyDescent="0.25">
      <c r="A7" s="11" t="s">
        <v>154</v>
      </c>
      <c r="B7" s="6">
        <v>750000</v>
      </c>
      <c r="C7" s="6">
        <v>1952989.34</v>
      </c>
      <c r="D7" s="6">
        <v>0</v>
      </c>
      <c r="E7" s="6">
        <v>0</v>
      </c>
      <c r="F7" s="6">
        <v>0</v>
      </c>
      <c r="G7" s="7">
        <v>0</v>
      </c>
      <c r="H7" s="10">
        <v>0</v>
      </c>
      <c r="I7" s="10">
        <v>0</v>
      </c>
      <c r="J7" s="10">
        <v>0</v>
      </c>
      <c r="K7" t="s">
        <v>56</v>
      </c>
    </row>
    <row r="8" spans="1:12" ht="32.25" customHeight="1" x14ac:dyDescent="0.25">
      <c r="A8" s="11" t="s">
        <v>155</v>
      </c>
      <c r="B8" s="6">
        <v>380000</v>
      </c>
      <c r="C8" s="6">
        <v>380215</v>
      </c>
      <c r="D8" s="6">
        <v>0</v>
      </c>
      <c r="E8" s="6">
        <v>0</v>
      </c>
      <c r="F8" s="6">
        <v>0</v>
      </c>
      <c r="G8" s="7">
        <v>0</v>
      </c>
      <c r="H8" s="10">
        <v>0</v>
      </c>
      <c r="I8" s="10">
        <v>0</v>
      </c>
      <c r="J8" s="10">
        <v>0</v>
      </c>
      <c r="K8" t="s">
        <v>56</v>
      </c>
    </row>
    <row r="9" spans="1:12" ht="32.25" customHeight="1" x14ac:dyDescent="0.25">
      <c r="A9" s="11" t="s">
        <v>156</v>
      </c>
      <c r="B9" s="6">
        <v>250000</v>
      </c>
      <c r="C9" s="6">
        <v>1717889</v>
      </c>
      <c r="D9" s="6">
        <v>0</v>
      </c>
      <c r="E9" s="6">
        <v>0</v>
      </c>
      <c r="F9" s="6">
        <v>0</v>
      </c>
      <c r="G9" s="7">
        <v>0</v>
      </c>
      <c r="H9" s="10">
        <v>0</v>
      </c>
      <c r="I9" s="10">
        <v>0</v>
      </c>
      <c r="J9" s="10">
        <v>0</v>
      </c>
      <c r="K9" t="s">
        <v>56</v>
      </c>
    </row>
    <row r="10" spans="1:12" ht="32.25" customHeight="1" x14ac:dyDescent="0.25">
      <c r="A10" s="11" t="s">
        <v>157</v>
      </c>
      <c r="B10" s="6">
        <v>840357</v>
      </c>
      <c r="C10" s="6">
        <v>845000</v>
      </c>
      <c r="D10" s="6">
        <v>4182</v>
      </c>
      <c r="E10" s="6">
        <v>315043.8</v>
      </c>
      <c r="F10" s="6">
        <v>319225.8</v>
      </c>
      <c r="G10" s="7">
        <v>0.37778201183431998</v>
      </c>
      <c r="H10" s="10">
        <v>0</v>
      </c>
      <c r="I10" s="10">
        <v>0.37489281341144298</v>
      </c>
      <c r="J10" s="10">
        <v>1</v>
      </c>
      <c r="K10" t="s">
        <v>56</v>
      </c>
    </row>
    <row r="11" spans="1:12" ht="32.25" customHeight="1" x14ac:dyDescent="0.25">
      <c r="A11" s="11" t="s">
        <v>158</v>
      </c>
      <c r="B11" s="6">
        <v>310000</v>
      </c>
      <c r="C11" s="6">
        <v>1560000</v>
      </c>
      <c r="D11" s="6">
        <v>1249114.68</v>
      </c>
      <c r="E11" s="6">
        <v>295506.62</v>
      </c>
      <c r="F11" s="6">
        <v>1544621.3</v>
      </c>
      <c r="G11" s="7">
        <v>0.99014185897435902</v>
      </c>
      <c r="H11" s="10">
        <v>0.95324716129032305</v>
      </c>
      <c r="I11" s="10">
        <v>0.95324716129032305</v>
      </c>
      <c r="J11" s="10">
        <v>1</v>
      </c>
      <c r="K11" t="s">
        <v>56</v>
      </c>
    </row>
    <row r="12" spans="1:12" ht="32.25" customHeight="1" x14ac:dyDescent="0.25">
      <c r="A12" s="11" t="s">
        <v>159</v>
      </c>
      <c r="B12" s="6">
        <v>1063632.08</v>
      </c>
      <c r="C12" s="6">
        <v>1063632.08</v>
      </c>
      <c r="D12" s="6">
        <v>0</v>
      </c>
      <c r="E12" s="6">
        <v>785688.94</v>
      </c>
      <c r="F12" s="6">
        <v>785688.94</v>
      </c>
      <c r="G12" s="7">
        <v>0.73868488434459401</v>
      </c>
      <c r="H12" s="10">
        <v>6.4119916353030599E-3</v>
      </c>
      <c r="I12" s="10">
        <v>0.73868488434459401</v>
      </c>
      <c r="J12" s="10">
        <v>0.8</v>
      </c>
      <c r="K12" t="s">
        <v>56</v>
      </c>
    </row>
    <row r="13" spans="1:12" ht="32.25" customHeight="1" x14ac:dyDescent="0.25">
      <c r="A13" s="11" t="s">
        <v>160</v>
      </c>
      <c r="B13" s="6">
        <v>1000000</v>
      </c>
      <c r="C13" s="6">
        <v>1213129.1599999999</v>
      </c>
      <c r="D13" s="6">
        <v>0</v>
      </c>
      <c r="E13" s="6">
        <v>0</v>
      </c>
      <c r="F13" s="6">
        <v>0</v>
      </c>
      <c r="G13" s="7">
        <v>0</v>
      </c>
      <c r="H13" s="10">
        <v>0</v>
      </c>
      <c r="I13" s="10">
        <v>0</v>
      </c>
      <c r="J13" s="10">
        <v>0</v>
      </c>
      <c r="K13" t="s">
        <v>56</v>
      </c>
    </row>
    <row r="14" spans="1:12" ht="32.25" customHeight="1" x14ac:dyDescent="0.25">
      <c r="A14" s="11" t="s">
        <v>161</v>
      </c>
      <c r="B14" s="6">
        <v>400000</v>
      </c>
      <c r="C14" s="6">
        <v>1677196</v>
      </c>
      <c r="D14" s="6">
        <v>0</v>
      </c>
      <c r="E14" s="6">
        <v>0</v>
      </c>
      <c r="F14" s="6">
        <v>0</v>
      </c>
      <c r="G14" s="7">
        <v>0</v>
      </c>
      <c r="H14" s="10">
        <v>0</v>
      </c>
      <c r="I14" s="10">
        <v>0</v>
      </c>
      <c r="J14" s="10">
        <v>0</v>
      </c>
      <c r="K14" t="s">
        <v>56</v>
      </c>
    </row>
    <row r="15" spans="1:12" ht="32.25" customHeight="1" x14ac:dyDescent="0.25">
      <c r="A15" s="11" t="s">
        <v>162</v>
      </c>
      <c r="B15" s="6">
        <v>844440</v>
      </c>
      <c r="C15" s="6">
        <v>844440</v>
      </c>
      <c r="D15" s="6">
        <v>0</v>
      </c>
      <c r="E15" s="6">
        <v>0</v>
      </c>
      <c r="F15" s="6">
        <v>0</v>
      </c>
      <c r="G15" s="7">
        <v>0</v>
      </c>
      <c r="H15" s="10">
        <v>0</v>
      </c>
      <c r="I15" s="10">
        <v>0</v>
      </c>
      <c r="J15" s="10">
        <v>0</v>
      </c>
      <c r="K15" t="s">
        <v>56</v>
      </c>
    </row>
    <row r="16" spans="1:12" ht="32.25" customHeight="1" x14ac:dyDescent="0.25">
      <c r="A16" s="11" t="s">
        <v>163</v>
      </c>
      <c r="B16" s="6">
        <v>1000000</v>
      </c>
      <c r="C16" s="6">
        <v>4199796</v>
      </c>
      <c r="D16" s="6">
        <v>800</v>
      </c>
      <c r="E16" s="6">
        <v>10165.5</v>
      </c>
      <c r="F16" s="6">
        <v>10965.5</v>
      </c>
      <c r="G16" s="7">
        <v>2.6109601513978299E-3</v>
      </c>
      <c r="H16" s="10">
        <v>1.0165499999999999E-2</v>
      </c>
      <c r="I16" s="10">
        <v>1.0165499999999999E-2</v>
      </c>
      <c r="J16" s="10">
        <v>0</v>
      </c>
      <c r="K16" t="s">
        <v>86</v>
      </c>
    </row>
    <row r="17" spans="1:11" ht="32.25" customHeight="1" x14ac:dyDescent="0.25">
      <c r="A17" s="11" t="s">
        <v>164</v>
      </c>
      <c r="B17" s="6">
        <v>3000000</v>
      </c>
      <c r="C17" s="6">
        <v>18000000</v>
      </c>
      <c r="D17" s="6">
        <v>2892062</v>
      </c>
      <c r="E17" s="6">
        <v>0</v>
      </c>
      <c r="F17" s="6">
        <v>2892062</v>
      </c>
      <c r="G17" s="7">
        <v>0.16067011111111101</v>
      </c>
      <c r="H17" s="10">
        <v>0</v>
      </c>
      <c r="I17" s="10">
        <v>0</v>
      </c>
      <c r="J17" s="10">
        <v>0.96</v>
      </c>
      <c r="K17" t="s">
        <v>86</v>
      </c>
    </row>
    <row r="18" spans="1:11" ht="32.25" customHeight="1" x14ac:dyDescent="0.25">
      <c r="A18" s="11" t="s">
        <v>165</v>
      </c>
      <c r="B18" s="6">
        <v>696538.83</v>
      </c>
      <c r="C18" s="6">
        <v>696539</v>
      </c>
      <c r="D18" s="6">
        <v>0</v>
      </c>
      <c r="E18" s="6">
        <v>0</v>
      </c>
      <c r="F18" s="6">
        <v>0</v>
      </c>
      <c r="G18" s="7">
        <v>0</v>
      </c>
      <c r="H18" s="10">
        <v>0</v>
      </c>
      <c r="I18" s="10">
        <v>0</v>
      </c>
      <c r="J18" s="10">
        <v>0.3</v>
      </c>
      <c r="K18" t="s">
        <v>74</v>
      </c>
    </row>
    <row r="19" spans="1:11" ht="32.25" customHeight="1" x14ac:dyDescent="0.25">
      <c r="A19" s="11" t="s">
        <v>166</v>
      </c>
      <c r="B19" s="6">
        <v>975007.85</v>
      </c>
      <c r="C19" s="6">
        <v>1265000</v>
      </c>
      <c r="D19" s="6">
        <v>0</v>
      </c>
      <c r="E19" s="6">
        <v>596949</v>
      </c>
      <c r="F19" s="6">
        <v>596949</v>
      </c>
      <c r="G19" s="7">
        <v>0.471896442687747</v>
      </c>
      <c r="H19" s="10">
        <v>0.48937041891508898</v>
      </c>
      <c r="I19" s="10">
        <v>0.61225045521428401</v>
      </c>
      <c r="J19" s="10">
        <v>0.6</v>
      </c>
      <c r="K19" t="s">
        <v>74</v>
      </c>
    </row>
    <row r="20" spans="1:11" ht="32.25" customHeight="1" x14ac:dyDescent="0.25">
      <c r="A20" s="11" t="s">
        <v>167</v>
      </c>
      <c r="B20" s="6">
        <v>1500000</v>
      </c>
      <c r="C20" s="6">
        <v>12790017</v>
      </c>
      <c r="D20" s="6">
        <v>0</v>
      </c>
      <c r="E20" s="6">
        <v>0</v>
      </c>
      <c r="F20" s="6">
        <v>0</v>
      </c>
      <c r="G20" s="7">
        <v>0</v>
      </c>
      <c r="H20" s="10">
        <v>0</v>
      </c>
      <c r="I20" s="10">
        <v>0</v>
      </c>
      <c r="J20" s="10">
        <v>0</v>
      </c>
      <c r="K20" t="s">
        <v>74</v>
      </c>
    </row>
    <row r="21" spans="1:11" ht="32.25" customHeight="1" x14ac:dyDescent="0.25">
      <c r="A21" s="11" t="s">
        <v>168</v>
      </c>
      <c r="B21" s="6">
        <v>1500000</v>
      </c>
      <c r="C21" s="6">
        <v>6118031.3099999996</v>
      </c>
      <c r="D21" s="6">
        <v>0</v>
      </c>
      <c r="E21" s="6">
        <v>0</v>
      </c>
      <c r="F21" s="6">
        <v>0</v>
      </c>
      <c r="G21" s="7">
        <v>0</v>
      </c>
      <c r="H21" s="10">
        <v>0</v>
      </c>
      <c r="I21" s="10">
        <v>0</v>
      </c>
      <c r="J21" s="10">
        <v>0</v>
      </c>
      <c r="K21" t="s">
        <v>56</v>
      </c>
    </row>
    <row r="22" spans="1:11" ht="32.25" customHeight="1" x14ac:dyDescent="0.25">
      <c r="A22" s="11" t="s">
        <v>169</v>
      </c>
      <c r="B22" s="6">
        <v>1913003</v>
      </c>
      <c r="C22" s="6">
        <v>2898002.55</v>
      </c>
      <c r="D22" s="6">
        <v>0</v>
      </c>
      <c r="E22" s="6">
        <v>7380</v>
      </c>
      <c r="F22" s="6">
        <v>7380</v>
      </c>
      <c r="G22" s="7">
        <v>2.5465816101507598E-3</v>
      </c>
      <c r="H22" s="10">
        <v>0</v>
      </c>
      <c r="I22" s="10">
        <v>3.85780890045651E-3</v>
      </c>
      <c r="J22" s="10">
        <v>0.1</v>
      </c>
      <c r="K22" t="s">
        <v>56</v>
      </c>
    </row>
    <row r="23" spans="1:11" ht="32.25" customHeight="1" x14ac:dyDescent="0.25">
      <c r="A23" s="11" t="s">
        <v>170</v>
      </c>
      <c r="B23" s="6">
        <v>0</v>
      </c>
      <c r="C23" s="6">
        <v>750000</v>
      </c>
      <c r="D23" s="6">
        <v>4182</v>
      </c>
      <c r="E23" s="6">
        <v>0</v>
      </c>
      <c r="F23" s="6">
        <v>4182</v>
      </c>
      <c r="G23" s="7">
        <v>5.5760000000000002E-3</v>
      </c>
      <c r="H23" s="10">
        <v>0</v>
      </c>
      <c r="I23" s="10">
        <v>0</v>
      </c>
      <c r="J23" s="10">
        <v>0</v>
      </c>
      <c r="K23" t="s">
        <v>56</v>
      </c>
    </row>
    <row r="24" spans="1:11" ht="32.25" customHeight="1" x14ac:dyDescent="0.25">
      <c r="A24" s="11" t="s">
        <v>171</v>
      </c>
      <c r="B24" s="6">
        <v>1200000</v>
      </c>
      <c r="C24" s="6">
        <v>11264094</v>
      </c>
      <c r="D24" s="6">
        <v>0</v>
      </c>
      <c r="E24" s="6">
        <v>0</v>
      </c>
      <c r="F24" s="6">
        <v>0</v>
      </c>
      <c r="G24" s="7">
        <v>0</v>
      </c>
      <c r="H24" s="10">
        <v>0</v>
      </c>
      <c r="I24" s="10">
        <v>0</v>
      </c>
      <c r="J24" s="10">
        <v>0</v>
      </c>
      <c r="K24" t="s">
        <v>86</v>
      </c>
    </row>
    <row r="25" spans="1:11" x14ac:dyDescent="0.25">
      <c r="B25" s="6">
        <f>SUBTOTAL(109,Table113[Toplam Yıl Ödeneği])</f>
        <v>18222978.759999998</v>
      </c>
      <c r="C25" s="6">
        <f>SUBTOTAL(109,Table113[Toplam Proje Tutarı])</f>
        <v>120001289.98999999</v>
      </c>
      <c r="D25" s="6">
        <f>SUBTOTAL(109,Table113[Önceki Yıllar Toplam Harcaması])</f>
        <v>4150340.6799999997</v>
      </c>
      <c r="E25" s="6">
        <f>SUBTOTAL(109,Table113[Yılı Harcama Tutarı])</f>
        <v>2010733.8599999999</v>
      </c>
      <c r="F25" s="6">
        <f>SUBTOTAL(109,Table113[Toplam Harcama Tutarı])</f>
        <v>6161074.54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12" sqref="E12"/>
    </sheetView>
  </sheetViews>
  <sheetFormatPr defaultRowHeight="15" x14ac:dyDescent="0.25"/>
  <cols>
    <col min="1" max="1" width="33.28515625" customWidth="1"/>
  </cols>
  <sheetData>
    <row r="1" spans="1:12" x14ac:dyDescent="0.25">
      <c r="A1" s="15" t="s">
        <v>172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75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45" x14ac:dyDescent="0.25">
      <c r="A4" s="11" t="s">
        <v>173</v>
      </c>
      <c r="B4" s="6">
        <v>600000</v>
      </c>
      <c r="C4" s="6">
        <v>1620373.3</v>
      </c>
      <c r="D4" s="6">
        <v>1020303</v>
      </c>
      <c r="E4" s="6">
        <v>345360.08</v>
      </c>
      <c r="F4" s="6">
        <v>1365663.08</v>
      </c>
      <c r="G4" s="7">
        <v>0.84280769128940802</v>
      </c>
      <c r="H4" s="10">
        <v>0.263855116666667</v>
      </c>
      <c r="I4" s="10">
        <v>0.57560013333333304</v>
      </c>
      <c r="J4" s="10">
        <v>1</v>
      </c>
    </row>
    <row r="5" spans="1:12" x14ac:dyDescent="0.25">
      <c r="B5" s="6">
        <f>SUBTOTAL(109,Table114[Toplam Yıl Ödeneği])</f>
        <v>600000</v>
      </c>
      <c r="C5" s="6">
        <f>SUBTOTAL(109,Table114[Toplam Proje Tutarı])</f>
        <v>1620373.3</v>
      </c>
      <c r="D5" s="6">
        <f>SUBTOTAL(109,Table114[Önceki Yıllar Toplam Harcaması])</f>
        <v>1020303</v>
      </c>
      <c r="E5" s="6">
        <f>SUBTOTAL(109,Table114[Yılı Harcama Tutarı])</f>
        <v>345360.08</v>
      </c>
      <c r="F5" s="6">
        <f>SUBTOTAL(109,Table114[Toplam Harcama Tutarı])</f>
        <v>1365663.08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M9" sqref="M9"/>
    </sheetView>
  </sheetViews>
  <sheetFormatPr defaultRowHeight="15" x14ac:dyDescent="0.25"/>
  <cols>
    <col min="1" max="1" width="41.42578125" customWidth="1"/>
  </cols>
  <sheetData>
    <row r="1" spans="1:12" x14ac:dyDescent="0.25">
      <c r="A1" s="15" t="s">
        <v>174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54.75" customHeight="1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54.75" customHeight="1" x14ac:dyDescent="0.25">
      <c r="A4" s="11" t="s">
        <v>175</v>
      </c>
      <c r="B4" s="6">
        <v>634840</v>
      </c>
      <c r="C4" s="6">
        <v>634840</v>
      </c>
      <c r="D4" s="6">
        <v>0</v>
      </c>
      <c r="E4" s="6">
        <v>634840</v>
      </c>
      <c r="F4" s="6">
        <v>634840</v>
      </c>
      <c r="G4" s="7">
        <v>1</v>
      </c>
      <c r="H4" s="10">
        <v>0</v>
      </c>
      <c r="I4" s="10">
        <v>1</v>
      </c>
      <c r="J4" s="10">
        <v>1</v>
      </c>
      <c r="K4" t="s">
        <v>109</v>
      </c>
    </row>
    <row r="5" spans="1:12" ht="54.75" customHeight="1" x14ac:dyDescent="0.25">
      <c r="A5" s="11" t="s">
        <v>176</v>
      </c>
      <c r="B5" s="6">
        <v>424210</v>
      </c>
      <c r="C5" s="6">
        <v>424210</v>
      </c>
      <c r="D5" s="6">
        <v>0</v>
      </c>
      <c r="E5" s="6">
        <v>424210</v>
      </c>
      <c r="F5" s="6">
        <v>424210</v>
      </c>
      <c r="G5" s="7">
        <v>1</v>
      </c>
      <c r="H5" s="10">
        <v>0</v>
      </c>
      <c r="I5" s="10">
        <v>1</v>
      </c>
      <c r="J5" s="10">
        <v>1</v>
      </c>
      <c r="K5" t="s">
        <v>80</v>
      </c>
    </row>
    <row r="6" spans="1:12" ht="54.75" customHeight="1" x14ac:dyDescent="0.25">
      <c r="A6" s="11" t="s">
        <v>177</v>
      </c>
      <c r="B6" s="6">
        <v>3950145.92</v>
      </c>
      <c r="C6" s="6">
        <v>3950145.92</v>
      </c>
      <c r="D6" s="6">
        <v>0</v>
      </c>
      <c r="E6" s="6">
        <v>0</v>
      </c>
      <c r="F6" s="6">
        <v>0</v>
      </c>
      <c r="G6" s="7">
        <v>0</v>
      </c>
      <c r="H6" s="10">
        <v>0</v>
      </c>
      <c r="I6" s="10">
        <v>0</v>
      </c>
      <c r="J6" s="10">
        <v>0</v>
      </c>
      <c r="K6" t="s">
        <v>109</v>
      </c>
    </row>
    <row r="7" spans="1:12" ht="54.75" customHeight="1" x14ac:dyDescent="0.25">
      <c r="A7" s="11" t="s">
        <v>178</v>
      </c>
      <c r="B7" s="6">
        <v>40000</v>
      </c>
      <c r="C7" s="6">
        <v>40000</v>
      </c>
      <c r="D7" s="6">
        <v>0</v>
      </c>
      <c r="E7" s="6">
        <v>0</v>
      </c>
      <c r="F7" s="6">
        <v>0</v>
      </c>
      <c r="G7" s="7">
        <v>0</v>
      </c>
      <c r="H7" s="10">
        <v>0</v>
      </c>
      <c r="I7" s="10">
        <v>0</v>
      </c>
      <c r="J7" s="10">
        <v>0</v>
      </c>
      <c r="K7" t="s">
        <v>109</v>
      </c>
    </row>
    <row r="8" spans="1:12" ht="54.75" customHeight="1" x14ac:dyDescent="0.25">
      <c r="A8" s="11" t="s">
        <v>179</v>
      </c>
      <c r="B8" s="6">
        <v>120000</v>
      </c>
      <c r="C8" s="6">
        <v>120000</v>
      </c>
      <c r="D8" s="6">
        <v>0</v>
      </c>
      <c r="E8" s="6">
        <v>119947</v>
      </c>
      <c r="F8" s="6">
        <v>119947</v>
      </c>
      <c r="G8" s="7">
        <v>0.99955833333333299</v>
      </c>
      <c r="H8" s="10">
        <v>0</v>
      </c>
      <c r="I8" s="10">
        <v>0.99955833333333299</v>
      </c>
      <c r="J8" s="10">
        <v>1</v>
      </c>
      <c r="K8" t="s">
        <v>109</v>
      </c>
    </row>
    <row r="9" spans="1:12" ht="54.75" customHeight="1" x14ac:dyDescent="0.25">
      <c r="B9" s="6">
        <f>SUBTOTAL(109,Table115[Toplam Yıl Ödeneği])</f>
        <v>5169195.92</v>
      </c>
      <c r="C9" s="6">
        <f>SUBTOTAL(109,Table115[Toplam Proje Tutarı])</f>
        <v>5169195.92</v>
      </c>
      <c r="D9" s="6">
        <f>SUBTOTAL(109,Table115[Önceki Yıllar Toplam Harcaması])</f>
        <v>0</v>
      </c>
      <c r="E9" s="6">
        <f>SUBTOTAL(109,Table115[Yılı Harcama Tutarı])</f>
        <v>1178997</v>
      </c>
      <c r="F9" s="6">
        <f>SUBTOTAL(109,Table115[Toplam Harcama Tutarı])</f>
        <v>1178997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P4" sqref="P4"/>
    </sheetView>
  </sheetViews>
  <sheetFormatPr defaultRowHeight="15" x14ac:dyDescent="0.25"/>
  <cols>
    <col min="1" max="1" width="20.28515625" customWidth="1"/>
  </cols>
  <sheetData>
    <row r="1" spans="1:12" x14ac:dyDescent="0.25">
      <c r="A1" s="15" t="s">
        <v>180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75" x14ac:dyDescent="0.25">
      <c r="A3" s="11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45" customHeight="1" x14ac:dyDescent="0.25">
      <c r="A4" s="11" t="s">
        <v>181</v>
      </c>
      <c r="B4" s="6">
        <v>0</v>
      </c>
      <c r="C4" s="6">
        <v>3500000</v>
      </c>
      <c r="D4" s="6">
        <v>3050550</v>
      </c>
      <c r="E4" s="6">
        <v>0</v>
      </c>
      <c r="F4" s="6">
        <v>3050550</v>
      </c>
      <c r="G4" s="7">
        <v>0.87158571428571396</v>
      </c>
      <c r="H4" s="10">
        <v>0</v>
      </c>
      <c r="I4" s="10">
        <v>0</v>
      </c>
      <c r="J4" s="10">
        <v>0.98</v>
      </c>
      <c r="K4" t="s">
        <v>56</v>
      </c>
    </row>
    <row r="5" spans="1:12" x14ac:dyDescent="0.25">
      <c r="A5" s="11"/>
      <c r="B5" s="6">
        <f>SUBTOTAL(109,Table11617[Toplam Yıl Ödeneği])</f>
        <v>0</v>
      </c>
      <c r="C5" s="6">
        <f>SUBTOTAL(109,Table11617[Toplam Proje Tutarı])</f>
        <v>3500000</v>
      </c>
      <c r="D5" s="6">
        <f>SUBTOTAL(109,Table11617[Önceki Yıllar Toplam Harcaması])</f>
        <v>3050550</v>
      </c>
      <c r="E5" s="6">
        <f>SUBTOTAL(109,Table11617[Yılı Harcama Tutarı])</f>
        <v>0</v>
      </c>
      <c r="F5" s="6">
        <f>SUBTOTAL(109,Table11617[Toplam Harcama Tutarı])</f>
        <v>3050550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4" workbookViewId="0">
      <selection activeCell="A15" sqref="A15"/>
    </sheetView>
  </sheetViews>
  <sheetFormatPr defaultRowHeight="15" x14ac:dyDescent="0.25"/>
  <cols>
    <col min="1" max="1" width="31.28515625" customWidth="1"/>
    <col min="2" max="2" width="13.140625" customWidth="1"/>
    <col min="3" max="3" width="13.85546875" customWidth="1"/>
    <col min="4" max="4" width="12.85546875" customWidth="1"/>
    <col min="5" max="5" width="11.85546875" customWidth="1"/>
    <col min="6" max="6" width="13.85546875" customWidth="1"/>
  </cols>
  <sheetData>
    <row r="1" spans="1:12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75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30" customHeight="1" x14ac:dyDescent="0.25">
      <c r="A4" s="11" t="s">
        <v>182</v>
      </c>
      <c r="B4" s="6">
        <v>0</v>
      </c>
      <c r="C4" s="6">
        <v>34090200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0.01</v>
      </c>
      <c r="K4" t="s">
        <v>56</v>
      </c>
    </row>
    <row r="5" spans="1:12" ht="30" customHeight="1" x14ac:dyDescent="0.25">
      <c r="A5" s="11" t="s">
        <v>183</v>
      </c>
      <c r="B5" s="6">
        <v>0</v>
      </c>
      <c r="C5" s="6">
        <v>74304600</v>
      </c>
      <c r="D5" s="6">
        <v>0</v>
      </c>
      <c r="E5" s="6">
        <v>0</v>
      </c>
      <c r="F5" s="6">
        <v>0</v>
      </c>
      <c r="G5" s="7">
        <v>0</v>
      </c>
      <c r="H5" s="10">
        <v>0</v>
      </c>
      <c r="I5" s="10">
        <v>0</v>
      </c>
      <c r="J5" s="10">
        <v>0.01</v>
      </c>
      <c r="K5" t="s">
        <v>56</v>
      </c>
    </row>
    <row r="6" spans="1:12" ht="30" customHeight="1" x14ac:dyDescent="0.25">
      <c r="A6" s="11" t="s">
        <v>184</v>
      </c>
      <c r="B6" s="6">
        <v>9981243.5800000001</v>
      </c>
      <c r="C6" s="6">
        <v>147228163.63999999</v>
      </c>
      <c r="D6" s="6">
        <v>137246920.06</v>
      </c>
      <c r="E6" s="6">
        <v>9981243.5800000001</v>
      </c>
      <c r="F6" s="6">
        <v>147228163.63999999</v>
      </c>
      <c r="G6" s="7">
        <v>1</v>
      </c>
      <c r="H6" s="10">
        <v>0</v>
      </c>
      <c r="I6" s="10">
        <v>1</v>
      </c>
      <c r="J6" s="10">
        <v>1</v>
      </c>
      <c r="K6" t="s">
        <v>56</v>
      </c>
    </row>
    <row r="7" spans="1:12" ht="30" customHeight="1" x14ac:dyDescent="0.25">
      <c r="A7" s="11" t="s">
        <v>185</v>
      </c>
      <c r="B7" s="6">
        <v>4307000</v>
      </c>
      <c r="C7" s="6">
        <v>4307000</v>
      </c>
      <c r="D7" s="6">
        <v>0</v>
      </c>
      <c r="E7" s="6">
        <v>0</v>
      </c>
      <c r="F7" s="6">
        <v>0</v>
      </c>
      <c r="G7" s="7">
        <v>0</v>
      </c>
      <c r="H7" s="10">
        <v>0</v>
      </c>
      <c r="I7" s="10">
        <v>0</v>
      </c>
      <c r="J7" s="10">
        <v>0.53</v>
      </c>
      <c r="K7" t="s">
        <v>56</v>
      </c>
    </row>
    <row r="8" spans="1:12" ht="30" customHeight="1" x14ac:dyDescent="0.25">
      <c r="A8" s="11" t="s">
        <v>186</v>
      </c>
      <c r="B8" s="6">
        <v>1078217.69</v>
      </c>
      <c r="C8" s="6">
        <v>1440047.83</v>
      </c>
      <c r="D8" s="6">
        <v>361830.14</v>
      </c>
      <c r="E8" s="6">
        <v>1078217.69</v>
      </c>
      <c r="F8" s="6">
        <v>1440047.83</v>
      </c>
      <c r="G8" s="7">
        <v>1</v>
      </c>
      <c r="H8" s="10">
        <v>0.89201948634324502</v>
      </c>
      <c r="I8" s="10">
        <v>1</v>
      </c>
      <c r="J8" s="10">
        <v>1</v>
      </c>
      <c r="K8" t="s">
        <v>56</v>
      </c>
    </row>
    <row r="9" spans="1:12" ht="30" customHeight="1" x14ac:dyDescent="0.25">
      <c r="A9" s="11" t="s">
        <v>187</v>
      </c>
      <c r="B9" s="6">
        <v>10502000</v>
      </c>
      <c r="C9" s="6">
        <v>10502000</v>
      </c>
      <c r="D9" s="6">
        <v>0</v>
      </c>
      <c r="E9" s="6">
        <v>9909825.2100000009</v>
      </c>
      <c r="F9" s="6">
        <v>9909825.2100000009</v>
      </c>
      <c r="G9" s="7">
        <v>0.94361314130641805</v>
      </c>
      <c r="H9" s="10">
        <v>0.25604546086459701</v>
      </c>
      <c r="I9" s="10">
        <v>0.94361314130641805</v>
      </c>
      <c r="J9" s="10">
        <v>0.95</v>
      </c>
      <c r="K9" t="s">
        <v>86</v>
      </c>
    </row>
    <row r="10" spans="1:12" ht="30" customHeight="1" x14ac:dyDescent="0.25">
      <c r="A10" s="11" t="s">
        <v>188</v>
      </c>
      <c r="B10" s="6">
        <v>4626418.0599999996</v>
      </c>
      <c r="C10" s="6">
        <v>5070000</v>
      </c>
      <c r="D10" s="6">
        <v>443581.94</v>
      </c>
      <c r="E10" s="6">
        <v>3108984.79</v>
      </c>
      <c r="F10" s="6">
        <v>3552566.73</v>
      </c>
      <c r="G10" s="7">
        <v>0.70070349704141999</v>
      </c>
      <c r="H10" s="10">
        <v>0</v>
      </c>
      <c r="I10" s="10">
        <v>0.67200688517111695</v>
      </c>
      <c r="J10" s="10">
        <v>0.71</v>
      </c>
      <c r="K10" t="s">
        <v>78</v>
      </c>
    </row>
    <row r="11" spans="1:12" ht="30" customHeight="1" x14ac:dyDescent="0.25">
      <c r="A11" s="11" t="s">
        <v>189</v>
      </c>
      <c r="B11" s="6">
        <v>5068100</v>
      </c>
      <c r="C11" s="6">
        <v>5068100</v>
      </c>
      <c r="D11" s="6">
        <v>0</v>
      </c>
      <c r="E11" s="6">
        <v>1815230.44</v>
      </c>
      <c r="F11" s="6">
        <v>1815230.44</v>
      </c>
      <c r="G11" s="7">
        <v>0.35816784199206803</v>
      </c>
      <c r="H11" s="10">
        <v>0.161887383832205</v>
      </c>
      <c r="I11" s="10">
        <v>0.35816784199206803</v>
      </c>
      <c r="J11" s="10">
        <v>0.57999999999999996</v>
      </c>
      <c r="K11" t="s">
        <v>86</v>
      </c>
    </row>
    <row r="12" spans="1:12" ht="30" customHeight="1" x14ac:dyDescent="0.25">
      <c r="A12" s="11" t="s">
        <v>190</v>
      </c>
      <c r="B12" s="6">
        <v>0</v>
      </c>
      <c r="C12" s="6">
        <v>6100600</v>
      </c>
      <c r="D12" s="6">
        <v>3802452.94</v>
      </c>
      <c r="E12" s="6">
        <v>0</v>
      </c>
      <c r="F12" s="6">
        <v>3802452.94</v>
      </c>
      <c r="G12" s="7">
        <v>0.62329163360980899</v>
      </c>
      <c r="H12" s="10">
        <v>0</v>
      </c>
      <c r="I12" s="10">
        <v>0</v>
      </c>
      <c r="J12" s="10">
        <v>0.64</v>
      </c>
      <c r="K12" t="s">
        <v>56</v>
      </c>
    </row>
    <row r="13" spans="1:12" ht="30" customHeight="1" x14ac:dyDescent="0.25">
      <c r="A13" s="11" t="s">
        <v>191</v>
      </c>
      <c r="B13" s="6">
        <v>13562920</v>
      </c>
      <c r="C13" s="6">
        <v>13562920</v>
      </c>
      <c r="D13" s="6">
        <v>0</v>
      </c>
      <c r="E13" s="6">
        <v>0</v>
      </c>
      <c r="F13" s="6">
        <v>0</v>
      </c>
      <c r="G13" s="7">
        <v>0</v>
      </c>
      <c r="H13" s="10">
        <v>0</v>
      </c>
      <c r="I13" s="10">
        <v>0</v>
      </c>
      <c r="J13" s="10">
        <v>0.64</v>
      </c>
      <c r="K13" t="s">
        <v>56</v>
      </c>
    </row>
    <row r="14" spans="1:12" ht="30" customHeight="1" x14ac:dyDescent="0.25">
      <c r="A14" s="11" t="s">
        <v>192</v>
      </c>
      <c r="B14" s="6">
        <v>7826000</v>
      </c>
      <c r="C14" s="6">
        <v>17718617.170000002</v>
      </c>
      <c r="D14" s="6">
        <v>9892617.1699999999</v>
      </c>
      <c r="E14" s="6">
        <v>7826000</v>
      </c>
      <c r="F14" s="6">
        <v>17718617.170000002</v>
      </c>
      <c r="G14" s="7">
        <v>1</v>
      </c>
      <c r="H14" s="10">
        <v>0</v>
      </c>
      <c r="I14" s="10">
        <v>1</v>
      </c>
      <c r="J14" s="10">
        <v>1</v>
      </c>
      <c r="K14" t="s">
        <v>109</v>
      </c>
    </row>
    <row r="15" spans="1:12" ht="17.25" customHeight="1" x14ac:dyDescent="0.25">
      <c r="B15" s="6">
        <f>SUBTOTAL(109,Table118[Toplam Yıl Ödeneği])</f>
        <v>56951899.329999998</v>
      </c>
      <c r="C15" s="6">
        <f>SUBTOTAL(109,Table118[Toplam Proje Tutarı])</f>
        <v>319392248.64000005</v>
      </c>
      <c r="D15" s="6">
        <f>SUBTOTAL(109,Table118[Önceki Yıllar Toplam Harcaması])</f>
        <v>151747402.24999997</v>
      </c>
      <c r="E15" s="6">
        <f>SUBTOTAL(109,Table118[Yılı Harcama Tutarı])</f>
        <v>33719501.710000001</v>
      </c>
      <c r="F15" s="6">
        <f>SUBTOTAL(109,Table118[Toplam Harcama Tutarı])</f>
        <v>185466903.95999998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R6" sqref="R6"/>
    </sheetView>
  </sheetViews>
  <sheetFormatPr defaultRowHeight="15" x14ac:dyDescent="0.25"/>
  <cols>
    <col min="1" max="1" width="32.140625" customWidth="1"/>
    <col min="2" max="2" width="12.28515625" customWidth="1"/>
    <col min="3" max="3" width="13.42578125" customWidth="1"/>
    <col min="5" max="5" width="12.42578125" customWidth="1"/>
    <col min="6" max="6" width="13.140625" customWidth="1"/>
    <col min="7" max="7" width="11.85546875" customWidth="1"/>
  </cols>
  <sheetData>
    <row r="1" spans="1:12" x14ac:dyDescent="0.25">
      <c r="A1" s="15" t="s">
        <v>193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41.25" customHeight="1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41.25" customHeight="1" x14ac:dyDescent="0.25">
      <c r="A4" s="11" t="s">
        <v>194</v>
      </c>
      <c r="B4" s="6">
        <v>300000</v>
      </c>
      <c r="C4" s="6">
        <v>450760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</v>
      </c>
      <c r="K4" t="s">
        <v>56</v>
      </c>
    </row>
    <row r="5" spans="1:12" ht="41.25" customHeight="1" x14ac:dyDescent="0.25">
      <c r="A5" s="11" t="s">
        <v>195</v>
      </c>
      <c r="B5" s="6">
        <v>15067981.220000001</v>
      </c>
      <c r="C5" s="6">
        <v>23270922</v>
      </c>
      <c r="D5" s="6">
        <v>6144850.29</v>
      </c>
      <c r="E5" s="6">
        <v>14154960.32</v>
      </c>
      <c r="F5" s="6">
        <v>20299810.609999999</v>
      </c>
      <c r="G5" s="7">
        <v>0.87232515368320995</v>
      </c>
      <c r="H5" s="10">
        <v>0.370519973345175</v>
      </c>
      <c r="I5" s="10">
        <v>0.93940655442361898</v>
      </c>
      <c r="J5" s="10">
        <v>0.9</v>
      </c>
      <c r="K5" t="s">
        <v>56</v>
      </c>
    </row>
    <row r="6" spans="1:12" ht="41.25" customHeight="1" x14ac:dyDescent="0.25">
      <c r="A6" s="11" t="s">
        <v>196</v>
      </c>
      <c r="B6" s="6">
        <v>9250293</v>
      </c>
      <c r="C6" s="6">
        <v>17159000</v>
      </c>
      <c r="D6" s="6">
        <v>0</v>
      </c>
      <c r="E6" s="6">
        <v>1488077.5</v>
      </c>
      <c r="F6" s="6">
        <v>1488077.5</v>
      </c>
      <c r="G6" s="7">
        <v>8.6722856809837406E-2</v>
      </c>
      <c r="H6" s="10">
        <v>0</v>
      </c>
      <c r="I6" s="10">
        <v>0.16086814763597199</v>
      </c>
      <c r="J6" s="10">
        <v>0.1</v>
      </c>
      <c r="K6" t="s">
        <v>56</v>
      </c>
    </row>
    <row r="7" spans="1:12" ht="41.25" customHeight="1" x14ac:dyDescent="0.25">
      <c r="A7" s="11" t="s">
        <v>197</v>
      </c>
      <c r="B7" s="6">
        <v>1487715</v>
      </c>
      <c r="C7" s="6">
        <v>1714337</v>
      </c>
      <c r="D7" s="6">
        <v>226622</v>
      </c>
      <c r="E7" s="6">
        <v>527024</v>
      </c>
      <c r="F7" s="6">
        <v>753646</v>
      </c>
      <c r="G7" s="7">
        <v>0.43961368155736003</v>
      </c>
      <c r="H7" s="10">
        <v>0.35425064612509799</v>
      </c>
      <c r="I7" s="10">
        <v>0.35425064612509799</v>
      </c>
      <c r="J7" s="10">
        <v>0.45</v>
      </c>
      <c r="K7" t="s">
        <v>71</v>
      </c>
    </row>
    <row r="8" spans="1:12" ht="41.25" customHeight="1" x14ac:dyDescent="0.25">
      <c r="A8" s="11"/>
      <c r="B8" s="6">
        <f>SUBTOTAL(109,Table119[Toplam Yıl Ödeneği])</f>
        <v>26105989.219999999</v>
      </c>
      <c r="C8" s="6">
        <f>SUBTOTAL(109,Table119[Toplam Proje Tutarı])</f>
        <v>42595019</v>
      </c>
      <c r="D8" s="6">
        <f>SUBTOTAL(109,Table119[Önceki Yıllar Toplam Harcaması])</f>
        <v>6371472.29</v>
      </c>
      <c r="E8" s="6">
        <f>SUBTOTAL(109,Table119[Yılı Harcama Tutarı])</f>
        <v>16170061.82</v>
      </c>
      <c r="F8" s="6">
        <f>SUBTOTAL(109,Table119[Toplam Harcama Tutarı])</f>
        <v>22541534.109999999</v>
      </c>
    </row>
    <row r="9" spans="1:12" ht="41.25" customHeight="1" x14ac:dyDescent="0.25"/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M4" sqref="M4"/>
    </sheetView>
  </sheetViews>
  <sheetFormatPr defaultRowHeight="15" x14ac:dyDescent="0.25"/>
  <cols>
    <col min="1" max="1" width="32.140625" customWidth="1"/>
    <col min="2" max="2" width="13.5703125" customWidth="1"/>
    <col min="3" max="3" width="14.28515625" customWidth="1"/>
    <col min="5" max="5" width="15.5703125" customWidth="1"/>
    <col min="6" max="6" width="14.85546875" customWidth="1"/>
  </cols>
  <sheetData>
    <row r="1" spans="1:12" x14ac:dyDescent="0.25">
      <c r="A1" s="15" t="s">
        <v>198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9.75" customHeight="1" x14ac:dyDescent="0.25">
      <c r="A2" t="s">
        <v>37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54</v>
      </c>
    </row>
    <row r="3" spans="1:12" ht="39.75" customHeight="1" x14ac:dyDescent="0.25">
      <c r="A3" s="11" t="s">
        <v>199</v>
      </c>
      <c r="B3" s="6">
        <v>31500000</v>
      </c>
      <c r="C3" s="6">
        <v>46496091</v>
      </c>
      <c r="D3" s="6">
        <v>0</v>
      </c>
      <c r="E3" s="6">
        <v>22015172</v>
      </c>
      <c r="F3" s="6">
        <v>22015172</v>
      </c>
      <c r="G3" s="7">
        <v>0.47348436237360297</v>
      </c>
      <c r="H3" s="10">
        <v>4.0819714285714299E-2</v>
      </c>
      <c r="I3" s="10">
        <v>0.69889434920634896</v>
      </c>
      <c r="J3" s="10">
        <v>0.7</v>
      </c>
    </row>
    <row r="4" spans="1:12" ht="39.75" customHeight="1" x14ac:dyDescent="0.25">
      <c r="A4" s="11" t="s">
        <v>200</v>
      </c>
      <c r="B4" s="6">
        <v>7077238</v>
      </c>
      <c r="C4" s="6">
        <v>7077238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0.05</v>
      </c>
      <c r="K4" t="s">
        <v>56</v>
      </c>
    </row>
    <row r="5" spans="1:12" ht="39.75" customHeight="1" x14ac:dyDescent="0.25">
      <c r="A5" s="11" t="s">
        <v>201</v>
      </c>
      <c r="B5" s="6">
        <v>0</v>
      </c>
      <c r="C5" s="6">
        <v>1</v>
      </c>
      <c r="D5" s="6">
        <v>0</v>
      </c>
      <c r="E5" s="6">
        <v>0</v>
      </c>
      <c r="F5" s="6">
        <v>0</v>
      </c>
      <c r="G5" s="7">
        <v>0</v>
      </c>
      <c r="H5" s="10">
        <v>0</v>
      </c>
      <c r="I5" s="10">
        <v>0</v>
      </c>
      <c r="J5" s="10">
        <v>0.9</v>
      </c>
      <c r="K5" t="s">
        <v>56</v>
      </c>
    </row>
    <row r="6" spans="1:12" ht="39.75" customHeight="1" x14ac:dyDescent="0.25">
      <c r="A6" s="11" t="s">
        <v>202</v>
      </c>
      <c r="B6" s="6">
        <v>1600000</v>
      </c>
      <c r="C6" s="6">
        <v>1600000</v>
      </c>
      <c r="D6" s="6">
        <v>0</v>
      </c>
      <c r="E6" s="6">
        <v>304951</v>
      </c>
      <c r="F6" s="6">
        <v>304951</v>
      </c>
      <c r="G6" s="7">
        <v>0.19059437500000001</v>
      </c>
      <c r="H6" s="10">
        <v>3.92225E-2</v>
      </c>
      <c r="I6" s="10">
        <v>0.19059437500000001</v>
      </c>
      <c r="J6" s="10">
        <v>0.8</v>
      </c>
      <c r="K6" t="s">
        <v>86</v>
      </c>
    </row>
    <row r="7" spans="1:12" ht="39.75" customHeight="1" x14ac:dyDescent="0.25">
      <c r="A7" s="11" t="s">
        <v>203</v>
      </c>
      <c r="B7" s="6">
        <v>2750000</v>
      </c>
      <c r="C7" s="6">
        <v>7920000</v>
      </c>
      <c r="D7" s="6">
        <v>0</v>
      </c>
      <c r="E7" s="6">
        <v>0</v>
      </c>
      <c r="F7" s="6">
        <v>0</v>
      </c>
      <c r="G7" s="7">
        <v>0</v>
      </c>
      <c r="H7" s="10">
        <v>0</v>
      </c>
      <c r="I7" s="10">
        <v>0</v>
      </c>
      <c r="J7" s="10">
        <v>0</v>
      </c>
      <c r="K7" t="s">
        <v>56</v>
      </c>
    </row>
    <row r="8" spans="1:12" ht="39.75" customHeight="1" x14ac:dyDescent="0.25">
      <c r="A8" s="11" t="s">
        <v>204</v>
      </c>
      <c r="B8" s="6">
        <v>500000</v>
      </c>
      <c r="C8" s="6">
        <v>500000</v>
      </c>
      <c r="D8" s="6">
        <v>0</v>
      </c>
      <c r="E8" s="6">
        <v>0</v>
      </c>
      <c r="F8" s="6">
        <v>0</v>
      </c>
      <c r="G8" s="7">
        <v>0</v>
      </c>
      <c r="H8" s="10">
        <v>0</v>
      </c>
      <c r="I8" s="10">
        <v>0</v>
      </c>
      <c r="J8" s="10">
        <v>0.98</v>
      </c>
      <c r="K8" t="s">
        <v>86</v>
      </c>
    </row>
    <row r="9" spans="1:12" ht="39.75" customHeight="1" x14ac:dyDescent="0.25">
      <c r="A9" s="11" t="s">
        <v>205</v>
      </c>
      <c r="B9" s="6">
        <v>0</v>
      </c>
      <c r="C9" s="6">
        <v>1</v>
      </c>
      <c r="D9" s="6">
        <v>0</v>
      </c>
      <c r="E9" s="6">
        <v>0</v>
      </c>
      <c r="F9" s="6">
        <v>0</v>
      </c>
      <c r="G9" s="7">
        <v>0</v>
      </c>
      <c r="H9" s="10">
        <v>0</v>
      </c>
      <c r="I9" s="10">
        <v>0</v>
      </c>
      <c r="J9" s="10">
        <v>0.3</v>
      </c>
      <c r="K9" t="s">
        <v>56</v>
      </c>
    </row>
    <row r="10" spans="1:12" ht="39.75" customHeight="1" x14ac:dyDescent="0.25">
      <c r="A10" s="11" t="s">
        <v>206</v>
      </c>
      <c r="B10" s="6">
        <v>40000000</v>
      </c>
      <c r="C10" s="6">
        <v>93102000</v>
      </c>
      <c r="D10" s="6">
        <v>0</v>
      </c>
      <c r="E10" s="6">
        <v>9061983</v>
      </c>
      <c r="F10" s="6">
        <v>9061983</v>
      </c>
      <c r="G10" s="7">
        <v>9.7333924083263496E-2</v>
      </c>
      <c r="H10" s="10">
        <v>0</v>
      </c>
      <c r="I10" s="10">
        <v>0.226549575</v>
      </c>
      <c r="J10" s="10">
        <v>0.15</v>
      </c>
      <c r="K10" t="s">
        <v>56</v>
      </c>
    </row>
    <row r="11" spans="1:12" ht="39.75" customHeight="1" x14ac:dyDescent="0.25">
      <c r="A11" s="11" t="s">
        <v>207</v>
      </c>
      <c r="B11" s="6">
        <v>534167</v>
      </c>
      <c r="C11" s="6">
        <v>3699030</v>
      </c>
      <c r="D11" s="6">
        <v>3164863</v>
      </c>
      <c r="E11" s="6">
        <v>534167</v>
      </c>
      <c r="F11" s="6">
        <v>3699030</v>
      </c>
      <c r="G11" s="7">
        <v>1</v>
      </c>
      <c r="H11" s="10">
        <v>0</v>
      </c>
      <c r="I11" s="10">
        <v>1</v>
      </c>
      <c r="J11" s="10">
        <v>1</v>
      </c>
      <c r="K11" t="s">
        <v>56</v>
      </c>
    </row>
    <row r="12" spans="1:12" ht="39.75" customHeight="1" x14ac:dyDescent="0.25">
      <c r="A12" s="11" t="s">
        <v>208</v>
      </c>
      <c r="B12" s="6">
        <v>1</v>
      </c>
      <c r="C12" s="6">
        <v>1</v>
      </c>
      <c r="D12" s="6">
        <v>0</v>
      </c>
      <c r="E12" s="6">
        <v>0</v>
      </c>
      <c r="F12" s="6">
        <v>0</v>
      </c>
      <c r="G12" s="7">
        <v>0</v>
      </c>
      <c r="H12" s="10">
        <v>0</v>
      </c>
      <c r="I12" s="10">
        <v>0</v>
      </c>
      <c r="J12" s="10">
        <v>0.95</v>
      </c>
      <c r="K12" t="s">
        <v>56</v>
      </c>
    </row>
    <row r="13" spans="1:12" ht="39.75" customHeight="1" x14ac:dyDescent="0.25">
      <c r="A13" s="11" t="s">
        <v>209</v>
      </c>
      <c r="B13" s="6">
        <v>583403</v>
      </c>
      <c r="C13" s="6">
        <v>583403</v>
      </c>
      <c r="D13" s="6">
        <v>0</v>
      </c>
      <c r="E13" s="6">
        <v>583403</v>
      </c>
      <c r="F13" s="6">
        <v>583403</v>
      </c>
      <c r="G13" s="7">
        <v>1</v>
      </c>
      <c r="H13" s="10">
        <v>0</v>
      </c>
      <c r="I13" s="10">
        <v>1</v>
      </c>
      <c r="J13" s="10">
        <v>1</v>
      </c>
      <c r="K13" t="s">
        <v>86</v>
      </c>
    </row>
    <row r="14" spans="1:12" ht="39.75" customHeight="1" x14ac:dyDescent="0.25">
      <c r="A14" s="11" t="s">
        <v>210</v>
      </c>
      <c r="B14" s="6">
        <v>11000000</v>
      </c>
      <c r="C14" s="6">
        <v>26952000</v>
      </c>
      <c r="D14" s="6">
        <v>0</v>
      </c>
      <c r="E14" s="6">
        <v>0</v>
      </c>
      <c r="F14" s="6">
        <v>0</v>
      </c>
      <c r="G14" s="7">
        <v>0</v>
      </c>
      <c r="H14" s="10">
        <v>0</v>
      </c>
      <c r="I14" s="10">
        <v>0</v>
      </c>
      <c r="J14" s="10">
        <v>0.05</v>
      </c>
      <c r="K14" t="s">
        <v>56</v>
      </c>
    </row>
    <row r="15" spans="1:12" ht="39.75" customHeight="1" x14ac:dyDescent="0.25">
      <c r="A15" s="11" t="s">
        <v>211</v>
      </c>
      <c r="B15" s="6">
        <v>409974</v>
      </c>
      <c r="C15" s="6">
        <v>4020338</v>
      </c>
      <c r="D15" s="6">
        <v>3610364</v>
      </c>
      <c r="E15" s="6">
        <v>407041</v>
      </c>
      <c r="F15" s="6">
        <v>4017405</v>
      </c>
      <c r="G15" s="7">
        <v>0.99927045934943803</v>
      </c>
      <c r="H15" s="10">
        <v>0.24126651934025101</v>
      </c>
      <c r="I15" s="10">
        <v>0.99284588778800598</v>
      </c>
      <c r="J15" s="10">
        <v>1</v>
      </c>
      <c r="K15" t="s">
        <v>56</v>
      </c>
    </row>
    <row r="16" spans="1:12" ht="39.75" customHeight="1" x14ac:dyDescent="0.25">
      <c r="A16" s="11" t="s">
        <v>212</v>
      </c>
      <c r="B16" s="6">
        <v>1</v>
      </c>
      <c r="C16" s="6">
        <v>1</v>
      </c>
      <c r="D16" s="6">
        <v>0</v>
      </c>
      <c r="E16" s="6">
        <v>0</v>
      </c>
      <c r="F16" s="6">
        <v>0</v>
      </c>
      <c r="G16" s="7">
        <v>0</v>
      </c>
      <c r="H16" s="10">
        <v>0</v>
      </c>
      <c r="I16" s="10">
        <v>0</v>
      </c>
      <c r="J16" s="10">
        <v>1</v>
      </c>
      <c r="K16" t="s">
        <v>71</v>
      </c>
    </row>
    <row r="17" spans="1:11" ht="39.75" customHeight="1" x14ac:dyDescent="0.25">
      <c r="A17" s="11" t="s">
        <v>213</v>
      </c>
      <c r="B17" s="6">
        <v>1</v>
      </c>
      <c r="C17" s="6">
        <v>1</v>
      </c>
      <c r="D17" s="6">
        <v>0</v>
      </c>
      <c r="E17" s="6">
        <v>0</v>
      </c>
      <c r="F17" s="6">
        <v>0</v>
      </c>
      <c r="G17" s="7">
        <v>0</v>
      </c>
      <c r="H17" s="10">
        <v>0</v>
      </c>
      <c r="I17" s="10">
        <v>0</v>
      </c>
      <c r="J17" s="10">
        <v>0.85</v>
      </c>
      <c r="K17" t="s">
        <v>80</v>
      </c>
    </row>
    <row r="18" spans="1:11" ht="39.75" customHeight="1" x14ac:dyDescent="0.25">
      <c r="A18" s="11" t="s">
        <v>214</v>
      </c>
      <c r="B18" s="6">
        <v>0</v>
      </c>
      <c r="C18" s="6">
        <v>1</v>
      </c>
      <c r="D18" s="6">
        <v>0</v>
      </c>
      <c r="E18" s="6">
        <v>0</v>
      </c>
      <c r="F18" s="6">
        <v>0</v>
      </c>
      <c r="G18" s="7">
        <v>0</v>
      </c>
      <c r="H18" s="10">
        <v>0</v>
      </c>
      <c r="I18" s="10">
        <v>0</v>
      </c>
      <c r="J18" s="10">
        <v>0.6</v>
      </c>
      <c r="K18" t="s">
        <v>80</v>
      </c>
    </row>
    <row r="19" spans="1:11" ht="39.75" customHeight="1" x14ac:dyDescent="0.25">
      <c r="A19" s="11" t="s">
        <v>215</v>
      </c>
      <c r="B19" s="6">
        <v>3000000</v>
      </c>
      <c r="C19" s="6">
        <v>7920000</v>
      </c>
      <c r="D19" s="6">
        <v>0</v>
      </c>
      <c r="E19" s="6">
        <v>0</v>
      </c>
      <c r="F19" s="6">
        <v>0</v>
      </c>
      <c r="G19" s="7">
        <v>0</v>
      </c>
      <c r="H19" s="10">
        <v>0</v>
      </c>
      <c r="I19" s="10">
        <v>0</v>
      </c>
      <c r="J19" s="10">
        <v>0</v>
      </c>
      <c r="K19" t="s">
        <v>74</v>
      </c>
    </row>
    <row r="20" spans="1:11" ht="39.75" customHeight="1" x14ac:dyDescent="0.25">
      <c r="A20" s="11" t="s">
        <v>216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7">
        <v>0</v>
      </c>
      <c r="H20" s="10">
        <v>0</v>
      </c>
      <c r="I20" s="10">
        <v>0</v>
      </c>
      <c r="J20" s="10">
        <v>0.9</v>
      </c>
      <c r="K20" t="s">
        <v>56</v>
      </c>
    </row>
    <row r="21" spans="1:11" ht="39.75" customHeight="1" x14ac:dyDescent="0.25">
      <c r="A21" s="11" t="s">
        <v>217</v>
      </c>
      <c r="B21" s="6">
        <v>3300000</v>
      </c>
      <c r="C21" s="6">
        <v>33000000</v>
      </c>
      <c r="D21" s="6">
        <v>0</v>
      </c>
      <c r="E21" s="6">
        <v>0</v>
      </c>
      <c r="F21" s="6">
        <v>0</v>
      </c>
      <c r="G21" s="7">
        <v>0</v>
      </c>
      <c r="H21" s="10">
        <v>0</v>
      </c>
      <c r="I21" s="10">
        <v>0</v>
      </c>
      <c r="J21" s="10">
        <v>0</v>
      </c>
      <c r="K21" t="s">
        <v>56</v>
      </c>
    </row>
    <row r="22" spans="1:11" ht="39.75" customHeight="1" x14ac:dyDescent="0.25">
      <c r="A22" s="11" t="s">
        <v>218</v>
      </c>
      <c r="B22" s="6">
        <v>7000000</v>
      </c>
      <c r="C22" s="6">
        <v>7000000</v>
      </c>
      <c r="D22" s="6">
        <v>0</v>
      </c>
      <c r="E22" s="6">
        <v>2481587</v>
      </c>
      <c r="F22" s="6">
        <v>2481587</v>
      </c>
      <c r="G22" s="7">
        <v>0.35451242857142901</v>
      </c>
      <c r="H22" s="10">
        <v>0.100066714285714</v>
      </c>
      <c r="I22" s="10">
        <v>0.35451242857142901</v>
      </c>
      <c r="J22" s="10">
        <v>0.9</v>
      </c>
      <c r="K22" t="s">
        <v>86</v>
      </c>
    </row>
    <row r="23" spans="1:11" ht="39.75" customHeight="1" x14ac:dyDescent="0.25">
      <c r="A23" s="11" t="s">
        <v>219</v>
      </c>
      <c r="B23" s="6">
        <v>1536266</v>
      </c>
      <c r="C23" s="6">
        <v>3418907</v>
      </c>
      <c r="D23" s="6">
        <v>1882641</v>
      </c>
      <c r="E23" s="6">
        <v>1536266</v>
      </c>
      <c r="F23" s="6">
        <v>3418907</v>
      </c>
      <c r="G23" s="7">
        <v>1</v>
      </c>
      <c r="H23" s="10">
        <v>0</v>
      </c>
      <c r="I23" s="10">
        <v>1</v>
      </c>
      <c r="J23" s="10">
        <v>1</v>
      </c>
      <c r="K23" t="s">
        <v>56</v>
      </c>
    </row>
    <row r="24" spans="1:11" ht="39.75" customHeight="1" x14ac:dyDescent="0.25">
      <c r="A24" s="11" t="s">
        <v>220</v>
      </c>
      <c r="B24" s="6">
        <v>863031</v>
      </c>
      <c r="C24" s="6">
        <v>863031</v>
      </c>
      <c r="D24" s="6">
        <v>0</v>
      </c>
      <c r="E24" s="6">
        <v>863031</v>
      </c>
      <c r="F24" s="6">
        <v>863031</v>
      </c>
      <c r="G24" s="7">
        <v>1</v>
      </c>
      <c r="H24" s="10">
        <v>1</v>
      </c>
      <c r="I24" s="10">
        <v>1</v>
      </c>
      <c r="J24" s="10">
        <v>1</v>
      </c>
      <c r="K24" t="s">
        <v>56</v>
      </c>
    </row>
    <row r="25" spans="1:11" ht="39.75" customHeight="1" x14ac:dyDescent="0.25">
      <c r="A25" s="11" t="s">
        <v>221</v>
      </c>
      <c r="B25" s="6">
        <v>2500000</v>
      </c>
      <c r="C25" s="6">
        <v>2500000</v>
      </c>
      <c r="D25" s="6">
        <v>0</v>
      </c>
      <c r="E25" s="6">
        <v>1193130</v>
      </c>
      <c r="F25" s="6">
        <v>1193130</v>
      </c>
      <c r="G25" s="7">
        <v>0.47725200000000001</v>
      </c>
      <c r="H25" s="10">
        <v>0.34204400000000001</v>
      </c>
      <c r="I25" s="10">
        <v>0.47725200000000001</v>
      </c>
      <c r="J25" s="10">
        <v>0.95</v>
      </c>
      <c r="K25" t="s">
        <v>86</v>
      </c>
    </row>
    <row r="26" spans="1:11" ht="39.75" customHeight="1" x14ac:dyDescent="0.25">
      <c r="A26" s="11" t="s">
        <v>222</v>
      </c>
      <c r="B26" s="6">
        <v>3000000</v>
      </c>
      <c r="C26" s="6">
        <v>3000000</v>
      </c>
      <c r="D26" s="6">
        <v>0</v>
      </c>
      <c r="E26" s="6">
        <v>1128209</v>
      </c>
      <c r="F26" s="6">
        <v>1128209</v>
      </c>
      <c r="G26" s="7">
        <v>0.37606966666666702</v>
      </c>
      <c r="H26" s="10">
        <v>2.7730000000000001E-2</v>
      </c>
      <c r="I26" s="10">
        <v>0.37606966666666702</v>
      </c>
      <c r="J26" s="10">
        <v>0.98</v>
      </c>
      <c r="K26" t="s">
        <v>86</v>
      </c>
    </row>
    <row r="27" spans="1:11" ht="39.75" customHeight="1" x14ac:dyDescent="0.25">
      <c r="A27" s="11" t="s">
        <v>223</v>
      </c>
      <c r="B27" s="6">
        <v>3000000</v>
      </c>
      <c r="C27" s="6">
        <v>7920000</v>
      </c>
      <c r="D27" s="6">
        <v>0</v>
      </c>
      <c r="E27" s="6">
        <v>0</v>
      </c>
      <c r="F27" s="6">
        <v>0</v>
      </c>
      <c r="G27" s="7">
        <v>0</v>
      </c>
      <c r="H27" s="10">
        <v>0</v>
      </c>
      <c r="I27" s="10">
        <v>0</v>
      </c>
      <c r="J27" s="10">
        <v>0</v>
      </c>
      <c r="K27" t="s">
        <v>56</v>
      </c>
    </row>
    <row r="28" spans="1:11" ht="39.75" customHeight="1" x14ac:dyDescent="0.25">
      <c r="A28" s="11" t="s">
        <v>224</v>
      </c>
      <c r="B28" s="6">
        <v>1200000</v>
      </c>
      <c r="C28" s="6">
        <v>1200000</v>
      </c>
      <c r="D28" s="6">
        <v>0</v>
      </c>
      <c r="E28" s="6">
        <v>555343</v>
      </c>
      <c r="F28" s="6">
        <v>555343</v>
      </c>
      <c r="G28" s="7">
        <v>0.46278583333333301</v>
      </c>
      <c r="H28" s="10">
        <v>0.46278583333333301</v>
      </c>
      <c r="I28" s="10">
        <v>0.46278583333333301</v>
      </c>
      <c r="J28" s="10">
        <v>0.9</v>
      </c>
      <c r="K28" t="s">
        <v>86</v>
      </c>
    </row>
    <row r="29" spans="1:11" ht="39.75" customHeight="1" x14ac:dyDescent="0.25">
      <c r="A29" s="11" t="s">
        <v>225</v>
      </c>
      <c r="B29" s="6">
        <v>996353</v>
      </c>
      <c r="C29" s="6">
        <v>1391715</v>
      </c>
      <c r="D29" s="6">
        <v>395362</v>
      </c>
      <c r="E29" s="6">
        <v>996353</v>
      </c>
      <c r="F29" s="6">
        <v>1391715</v>
      </c>
      <c r="G29" s="7">
        <v>1</v>
      </c>
      <c r="H29" s="10">
        <v>7.3953709177369903E-2</v>
      </c>
      <c r="I29" s="10">
        <v>1</v>
      </c>
      <c r="J29" s="10">
        <v>1</v>
      </c>
      <c r="K29" t="s">
        <v>109</v>
      </c>
    </row>
    <row r="30" spans="1:11" ht="39.75" customHeight="1" x14ac:dyDescent="0.25">
      <c r="A30" s="11" t="s">
        <v>226</v>
      </c>
      <c r="B30" s="6">
        <v>2750000</v>
      </c>
      <c r="C30" s="6">
        <v>7920000</v>
      </c>
      <c r="D30" s="6">
        <v>0</v>
      </c>
      <c r="E30" s="6">
        <v>0</v>
      </c>
      <c r="F30" s="6">
        <v>0</v>
      </c>
      <c r="G30" s="7">
        <v>0</v>
      </c>
      <c r="H30" s="10">
        <v>0</v>
      </c>
      <c r="I30" s="10">
        <v>0</v>
      </c>
      <c r="J30" s="10">
        <v>0</v>
      </c>
      <c r="K30" t="s">
        <v>56</v>
      </c>
    </row>
    <row r="31" spans="1:11" ht="39.75" customHeight="1" x14ac:dyDescent="0.25">
      <c r="A31" s="11" t="s">
        <v>227</v>
      </c>
      <c r="B31" s="6">
        <v>7500000</v>
      </c>
      <c r="C31" s="6">
        <v>7500000</v>
      </c>
      <c r="D31" s="6">
        <v>0</v>
      </c>
      <c r="E31" s="6">
        <v>3226598</v>
      </c>
      <c r="F31" s="6">
        <v>3226598</v>
      </c>
      <c r="G31" s="7">
        <v>0.43021306666666698</v>
      </c>
      <c r="H31" s="10">
        <v>4.8307066666666697E-2</v>
      </c>
      <c r="I31" s="10">
        <v>0.43021306666666698</v>
      </c>
      <c r="J31" s="10">
        <v>0.98</v>
      </c>
      <c r="K31" t="s">
        <v>86</v>
      </c>
    </row>
    <row r="32" spans="1:11" ht="39.75" customHeight="1" x14ac:dyDescent="0.25">
      <c r="A32" s="11" t="s">
        <v>228</v>
      </c>
      <c r="B32" s="6">
        <v>1700000</v>
      </c>
      <c r="C32" s="6">
        <v>1700000</v>
      </c>
      <c r="D32" s="6">
        <v>0</v>
      </c>
      <c r="E32" s="6">
        <v>524764</v>
      </c>
      <c r="F32" s="6">
        <v>524764</v>
      </c>
      <c r="G32" s="7">
        <v>0.30868470588235303</v>
      </c>
      <c r="H32" s="10">
        <v>1.5062352941176501E-2</v>
      </c>
      <c r="I32" s="10">
        <v>0.30868470588235303</v>
      </c>
      <c r="J32" s="10">
        <v>0.85</v>
      </c>
      <c r="K32" t="s">
        <v>86</v>
      </c>
    </row>
    <row r="33" spans="1:11" ht="39.75" customHeight="1" x14ac:dyDescent="0.25">
      <c r="A33" s="11" t="s">
        <v>229</v>
      </c>
      <c r="B33" s="6">
        <v>2000000</v>
      </c>
      <c r="C33" s="6">
        <v>2000000</v>
      </c>
      <c r="D33" s="6">
        <v>0</v>
      </c>
      <c r="E33" s="6">
        <v>788788</v>
      </c>
      <c r="F33" s="6">
        <v>788788</v>
      </c>
      <c r="G33" s="7">
        <v>0.39439400000000002</v>
      </c>
      <c r="H33" s="10">
        <v>0</v>
      </c>
      <c r="I33" s="10">
        <v>0.39439400000000002</v>
      </c>
      <c r="J33" s="10">
        <v>0.9</v>
      </c>
      <c r="K33" t="s">
        <v>86</v>
      </c>
    </row>
    <row r="34" spans="1:11" ht="39.75" customHeight="1" x14ac:dyDescent="0.25">
      <c r="A34" s="11" t="s">
        <v>230</v>
      </c>
      <c r="B34" s="6">
        <v>3000000</v>
      </c>
      <c r="C34" s="6">
        <v>7920000</v>
      </c>
      <c r="D34" s="6">
        <v>0</v>
      </c>
      <c r="E34" s="6">
        <v>0</v>
      </c>
      <c r="F34" s="6">
        <v>0</v>
      </c>
      <c r="G34" s="7">
        <v>0</v>
      </c>
      <c r="H34" s="10">
        <v>0</v>
      </c>
      <c r="I34" s="10">
        <v>0</v>
      </c>
      <c r="J34" s="10">
        <v>0</v>
      </c>
      <c r="K34" t="s">
        <v>56</v>
      </c>
    </row>
    <row r="35" spans="1:11" ht="39.75" customHeight="1" x14ac:dyDescent="0.25">
      <c r="A35" s="11" t="s">
        <v>231</v>
      </c>
      <c r="B35" s="6">
        <v>802353</v>
      </c>
      <c r="C35" s="6">
        <v>3032283</v>
      </c>
      <c r="D35" s="6">
        <v>2229930</v>
      </c>
      <c r="E35" s="6">
        <v>802353</v>
      </c>
      <c r="F35" s="6">
        <v>3032283</v>
      </c>
      <c r="G35" s="7">
        <v>1</v>
      </c>
      <c r="H35" s="10">
        <v>0</v>
      </c>
      <c r="I35" s="10">
        <v>1</v>
      </c>
      <c r="J35" s="10">
        <v>1</v>
      </c>
      <c r="K35" t="s">
        <v>56</v>
      </c>
    </row>
    <row r="36" spans="1:11" x14ac:dyDescent="0.25">
      <c r="B36" s="6">
        <f>SUBTOTAL(109,Table121[Toplam Yıl Ödeneği])</f>
        <v>140102788</v>
      </c>
      <c r="C36" s="6">
        <f>SUBTOTAL(109,Table121[Toplam Proje Tutarı])</f>
        <v>290236043</v>
      </c>
      <c r="D36" s="6">
        <f>SUBTOTAL(109,Table121[Önceki Yıllar Toplam Harcaması])</f>
        <v>11283160</v>
      </c>
      <c r="E36" s="6">
        <f>SUBTOTAL(109,Table121[Yılı Harcama Tutarı])</f>
        <v>47003139</v>
      </c>
      <c r="F36" s="6">
        <f>SUBTOTAL(109,Table121[Toplam Harcama Tutarı])</f>
        <v>58286299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N8" sqref="N8"/>
    </sheetView>
  </sheetViews>
  <sheetFormatPr defaultRowHeight="15" x14ac:dyDescent="0.25"/>
  <cols>
    <col min="1" max="1" width="34.28515625" customWidth="1"/>
    <col min="2" max="2" width="11" customWidth="1"/>
    <col min="3" max="3" width="11.85546875" customWidth="1"/>
    <col min="4" max="4" width="11.140625" customWidth="1"/>
    <col min="5" max="5" width="10.85546875" customWidth="1"/>
    <col min="6" max="6" width="11.7109375" customWidth="1"/>
  </cols>
  <sheetData>
    <row r="1" spans="1:12" x14ac:dyDescent="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ht="75" x14ac:dyDescent="0.25">
      <c r="A3" s="11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x14ac:dyDescent="0.25">
      <c r="A4" s="11" t="s">
        <v>242</v>
      </c>
      <c r="B4" s="6">
        <v>173375</v>
      </c>
      <c r="C4" s="6">
        <v>1750000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</v>
      </c>
      <c r="K4" t="s">
        <v>56</v>
      </c>
    </row>
    <row r="5" spans="1:12" x14ac:dyDescent="0.25">
      <c r="A5" s="11" t="s">
        <v>241</v>
      </c>
      <c r="B5" s="6">
        <v>56000</v>
      </c>
      <c r="C5" s="6">
        <v>554000</v>
      </c>
      <c r="D5" s="6">
        <v>0</v>
      </c>
      <c r="E5" s="6">
        <v>0</v>
      </c>
      <c r="F5" s="6">
        <v>0</v>
      </c>
      <c r="G5" s="7">
        <v>0</v>
      </c>
      <c r="H5" s="10">
        <v>0</v>
      </c>
      <c r="I5" s="10">
        <v>0</v>
      </c>
      <c r="J5" s="10">
        <v>0</v>
      </c>
      <c r="K5" t="s">
        <v>56</v>
      </c>
    </row>
    <row r="6" spans="1:12" x14ac:dyDescent="0.25">
      <c r="A6" s="11" t="s">
        <v>240</v>
      </c>
      <c r="B6" s="6">
        <v>2000</v>
      </c>
      <c r="C6" s="6">
        <v>2459250</v>
      </c>
      <c r="D6" s="6">
        <v>0</v>
      </c>
      <c r="E6" s="6">
        <v>0</v>
      </c>
      <c r="F6" s="6">
        <v>0</v>
      </c>
      <c r="G6" s="7">
        <v>0</v>
      </c>
      <c r="H6" s="10">
        <v>0</v>
      </c>
      <c r="I6" s="10">
        <v>0</v>
      </c>
      <c r="J6" s="10">
        <v>0</v>
      </c>
      <c r="K6" t="s">
        <v>56</v>
      </c>
    </row>
    <row r="7" spans="1:12" ht="45" x14ac:dyDescent="0.25">
      <c r="A7" s="11" t="s">
        <v>239</v>
      </c>
      <c r="B7" s="6">
        <v>2000</v>
      </c>
      <c r="C7" s="6">
        <v>2660000</v>
      </c>
      <c r="D7" s="6">
        <v>0</v>
      </c>
      <c r="E7" s="6">
        <v>0</v>
      </c>
      <c r="F7" s="6">
        <v>0</v>
      </c>
      <c r="G7" s="7">
        <v>0</v>
      </c>
      <c r="H7" s="10">
        <v>0</v>
      </c>
      <c r="I7" s="10">
        <v>0</v>
      </c>
      <c r="J7" s="10">
        <v>0</v>
      </c>
      <c r="K7" t="s">
        <v>56</v>
      </c>
    </row>
    <row r="8" spans="1:12" ht="30" x14ac:dyDescent="0.25">
      <c r="A8" s="11" t="s">
        <v>238</v>
      </c>
      <c r="B8" s="6">
        <v>97188467.790000007</v>
      </c>
      <c r="C8" s="6">
        <v>449827420.00999999</v>
      </c>
      <c r="D8" s="6">
        <v>317758225.81999999</v>
      </c>
      <c r="E8" s="6">
        <v>97188467.790000007</v>
      </c>
      <c r="F8" s="6">
        <v>414946693.61000001</v>
      </c>
      <c r="G8" s="7">
        <v>0.92245753627196703</v>
      </c>
      <c r="H8" s="10">
        <v>0.26973681534567201</v>
      </c>
      <c r="I8" s="10">
        <v>1</v>
      </c>
      <c r="J8" s="10">
        <v>1</v>
      </c>
      <c r="K8" t="s">
        <v>56</v>
      </c>
    </row>
    <row r="9" spans="1:12" ht="60" x14ac:dyDescent="0.25">
      <c r="A9" s="11" t="s">
        <v>237</v>
      </c>
      <c r="B9" s="6">
        <v>13002000</v>
      </c>
      <c r="C9" s="6">
        <v>52886750</v>
      </c>
      <c r="D9" s="6">
        <v>0</v>
      </c>
      <c r="E9" s="6">
        <v>0</v>
      </c>
      <c r="F9" s="6">
        <v>0</v>
      </c>
      <c r="G9" s="7">
        <v>0</v>
      </c>
      <c r="H9" s="10">
        <v>0</v>
      </c>
      <c r="I9" s="10">
        <v>0</v>
      </c>
      <c r="J9" s="10">
        <v>0</v>
      </c>
      <c r="K9" t="s">
        <v>56</v>
      </c>
    </row>
    <row r="10" spans="1:12" ht="30" x14ac:dyDescent="0.25">
      <c r="A10" s="11" t="s">
        <v>236</v>
      </c>
      <c r="B10" s="6">
        <v>375250</v>
      </c>
      <c r="C10" s="6">
        <v>3752500</v>
      </c>
      <c r="D10" s="6">
        <v>0</v>
      </c>
      <c r="E10" s="6">
        <v>0</v>
      </c>
      <c r="F10" s="6">
        <v>0</v>
      </c>
      <c r="G10" s="7">
        <v>0</v>
      </c>
      <c r="H10" s="10">
        <v>0</v>
      </c>
      <c r="I10" s="10">
        <v>0</v>
      </c>
      <c r="J10" s="10">
        <v>0</v>
      </c>
      <c r="K10" t="s">
        <v>71</v>
      </c>
    </row>
    <row r="11" spans="1:12" x14ac:dyDescent="0.25">
      <c r="A11" s="11" t="s">
        <v>235</v>
      </c>
      <c r="B11" s="6">
        <v>2000</v>
      </c>
      <c r="C11" s="6">
        <v>4800000</v>
      </c>
      <c r="D11" s="6">
        <v>0</v>
      </c>
      <c r="E11" s="6">
        <v>0</v>
      </c>
      <c r="F11" s="6">
        <v>0</v>
      </c>
      <c r="G11" s="7">
        <v>0</v>
      </c>
      <c r="H11" s="10">
        <v>0</v>
      </c>
      <c r="I11" s="10">
        <v>0</v>
      </c>
      <c r="J11" s="10">
        <v>0</v>
      </c>
      <c r="K11" t="s">
        <v>74</v>
      </c>
    </row>
    <row r="12" spans="1:12" ht="30" x14ac:dyDescent="0.25">
      <c r="A12" s="11" t="s">
        <v>234</v>
      </c>
      <c r="B12" s="6">
        <v>6330165</v>
      </c>
      <c r="C12" s="6">
        <v>10729092</v>
      </c>
      <c r="D12" s="6">
        <v>4398927</v>
      </c>
      <c r="E12" s="6">
        <v>0</v>
      </c>
      <c r="F12" s="6">
        <v>4398927</v>
      </c>
      <c r="G12" s="7">
        <v>0.40999993289273701</v>
      </c>
      <c r="H12" s="10">
        <v>0</v>
      </c>
      <c r="I12" s="10">
        <v>0</v>
      </c>
      <c r="J12" s="10">
        <v>0.77</v>
      </c>
      <c r="K12" t="s">
        <v>56</v>
      </c>
    </row>
    <row r="13" spans="1:12" x14ac:dyDescent="0.25">
      <c r="A13" s="11" t="s">
        <v>233</v>
      </c>
      <c r="B13" s="6">
        <v>2000</v>
      </c>
      <c r="C13" s="6">
        <v>7600000</v>
      </c>
      <c r="D13" s="6">
        <v>0</v>
      </c>
      <c r="E13" s="6">
        <v>0</v>
      </c>
      <c r="F13" s="6">
        <v>0</v>
      </c>
      <c r="G13" s="7">
        <v>0</v>
      </c>
      <c r="H13" s="10">
        <v>0</v>
      </c>
      <c r="I13" s="10">
        <v>0</v>
      </c>
      <c r="J13" s="10">
        <v>0</v>
      </c>
      <c r="K13" t="s">
        <v>78</v>
      </c>
    </row>
    <row r="14" spans="1:12" x14ac:dyDescent="0.25">
      <c r="A14" s="11" t="s">
        <v>232</v>
      </c>
      <c r="B14" s="6">
        <v>2000</v>
      </c>
      <c r="C14" s="6">
        <v>7600000</v>
      </c>
      <c r="D14" s="6">
        <v>0</v>
      </c>
      <c r="E14" s="6">
        <v>0</v>
      </c>
      <c r="F14" s="6">
        <v>0</v>
      </c>
      <c r="G14" s="7">
        <v>0</v>
      </c>
      <c r="H14" s="10">
        <v>0</v>
      </c>
      <c r="I14" s="10">
        <v>0</v>
      </c>
      <c r="J14" s="10">
        <v>0</v>
      </c>
      <c r="K14" t="s">
        <v>80</v>
      </c>
    </row>
    <row r="15" spans="1:12" x14ac:dyDescent="0.25">
      <c r="A15">
        <f>SUM(A4:A14)</f>
        <v>0</v>
      </c>
      <c r="B15" s="6">
        <v>2000</v>
      </c>
      <c r="C15" s="6">
        <v>140000</v>
      </c>
      <c r="D15" s="6">
        <v>0</v>
      </c>
      <c r="E15" s="6">
        <v>0</v>
      </c>
      <c r="F15" s="6">
        <v>0</v>
      </c>
      <c r="G15" s="7">
        <v>0</v>
      </c>
      <c r="H15" s="10">
        <v>0</v>
      </c>
      <c r="I15" s="10">
        <v>0</v>
      </c>
      <c r="J15" s="10">
        <v>0</v>
      </c>
      <c r="K15" t="s">
        <v>69</v>
      </c>
    </row>
    <row r="16" spans="1:12" x14ac:dyDescent="0.25">
      <c r="B16" s="6">
        <f>SUBTOTAL(109,Table111[Toplam Yıl Ödeneği])</f>
        <v>117137257.79000001</v>
      </c>
      <c r="C16" s="6">
        <f>SUBTOTAL(109,Table111[Toplam Proje Tutarı])</f>
        <v>544759012.00999999</v>
      </c>
      <c r="D16" s="6">
        <f>SUBTOTAL(109,Table111[Önceki Yıllar Toplam Harcaması])</f>
        <v>322157152.81999999</v>
      </c>
      <c r="E16" s="6">
        <f>SUBTOTAL(109,Table111[Yılı Harcama Tutarı])</f>
        <v>97188467.790000007</v>
      </c>
      <c r="F16" s="6">
        <f>SUBTOTAL(109,Table111[Toplam Harcama Tutarı])</f>
        <v>419345620.61000001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3" workbookViewId="0">
      <selection activeCell="O21" sqref="O21"/>
    </sheetView>
  </sheetViews>
  <sheetFormatPr defaultRowHeight="15" x14ac:dyDescent="0.25"/>
  <cols>
    <col min="1" max="1" width="35.7109375" customWidth="1"/>
    <col min="2" max="2" width="10.140625" customWidth="1"/>
    <col min="3" max="3" width="10.5703125" customWidth="1"/>
  </cols>
  <sheetData>
    <row r="1" spans="1:12" x14ac:dyDescent="0.25">
      <c r="A1" s="15" t="s">
        <v>264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75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x14ac:dyDescent="0.25">
      <c r="A4" s="11" t="s">
        <v>263</v>
      </c>
      <c r="B4" s="6">
        <v>6077</v>
      </c>
      <c r="C4" s="6">
        <v>6077</v>
      </c>
      <c r="D4" s="6">
        <v>0</v>
      </c>
      <c r="E4" s="6">
        <v>6075.58</v>
      </c>
      <c r="F4" s="6">
        <v>6075.58</v>
      </c>
      <c r="G4" s="7">
        <v>0.99976633207174603</v>
      </c>
      <c r="H4" s="10">
        <v>0</v>
      </c>
      <c r="I4" s="10">
        <v>0.99976633207174603</v>
      </c>
      <c r="J4" s="10">
        <v>1</v>
      </c>
      <c r="K4" t="s">
        <v>56</v>
      </c>
    </row>
    <row r="5" spans="1:12" ht="45" x14ac:dyDescent="0.25">
      <c r="A5" s="11" t="s">
        <v>262</v>
      </c>
      <c r="B5" s="6">
        <v>35995</v>
      </c>
      <c r="C5" s="6">
        <v>39998</v>
      </c>
      <c r="D5" s="6">
        <v>0</v>
      </c>
      <c r="E5" s="6">
        <v>35995</v>
      </c>
      <c r="F5" s="6">
        <v>35995</v>
      </c>
      <c r="G5" s="7">
        <v>0.89991999599979999</v>
      </c>
      <c r="H5" s="10">
        <v>0.388970690373663</v>
      </c>
      <c r="I5" s="10">
        <v>1</v>
      </c>
      <c r="J5" s="10">
        <v>1</v>
      </c>
      <c r="K5" t="s">
        <v>56</v>
      </c>
    </row>
    <row r="6" spans="1:12" ht="45" x14ac:dyDescent="0.25">
      <c r="A6" s="11" t="s">
        <v>261</v>
      </c>
      <c r="B6" s="6">
        <v>118625</v>
      </c>
      <c r="C6" s="6">
        <v>132998</v>
      </c>
      <c r="D6" s="6">
        <v>0</v>
      </c>
      <c r="E6" s="6">
        <v>114925.98</v>
      </c>
      <c r="F6" s="6">
        <v>114925.98</v>
      </c>
      <c r="G6" s="7">
        <v>0.864118107039204</v>
      </c>
      <c r="H6" s="10">
        <v>0.51868493150684902</v>
      </c>
      <c r="I6" s="10">
        <v>0.96881753424657502</v>
      </c>
      <c r="J6" s="10">
        <v>0.96</v>
      </c>
      <c r="K6" t="s">
        <v>56</v>
      </c>
    </row>
    <row r="7" spans="1:12" x14ac:dyDescent="0.25">
      <c r="A7" s="11" t="s">
        <v>260</v>
      </c>
      <c r="B7" s="6">
        <v>1105000</v>
      </c>
      <c r="C7" s="6">
        <v>1105000</v>
      </c>
      <c r="D7" s="6">
        <v>0</v>
      </c>
      <c r="E7" s="6">
        <v>409853.75</v>
      </c>
      <c r="F7" s="6">
        <v>409853.75</v>
      </c>
      <c r="G7" s="7">
        <v>0.37090837104072399</v>
      </c>
      <c r="H7" s="10">
        <v>4.5333737556561102E-2</v>
      </c>
      <c r="I7" s="10">
        <v>0.37090837104072399</v>
      </c>
      <c r="J7" s="10">
        <v>0.56999999999999995</v>
      </c>
      <c r="K7" t="s">
        <v>56</v>
      </c>
    </row>
    <row r="8" spans="1:12" ht="30" x14ac:dyDescent="0.25">
      <c r="A8" s="11" t="s">
        <v>259</v>
      </c>
      <c r="B8" s="6">
        <v>2000</v>
      </c>
      <c r="C8" s="6">
        <v>57423690</v>
      </c>
      <c r="D8" s="6">
        <v>0</v>
      </c>
      <c r="E8" s="6">
        <v>0</v>
      </c>
      <c r="F8" s="6">
        <v>0</v>
      </c>
      <c r="G8" s="7">
        <v>0</v>
      </c>
      <c r="H8" s="10">
        <v>0</v>
      </c>
      <c r="I8" s="10">
        <v>0</v>
      </c>
      <c r="J8" s="10">
        <v>0</v>
      </c>
      <c r="K8" t="s">
        <v>56</v>
      </c>
    </row>
    <row r="9" spans="1:12" ht="30" x14ac:dyDescent="0.25">
      <c r="A9" s="11" t="s">
        <v>258</v>
      </c>
      <c r="B9" s="6">
        <v>71500</v>
      </c>
      <c r="C9" s="6">
        <v>71500</v>
      </c>
      <c r="D9" s="6">
        <v>0</v>
      </c>
      <c r="E9" s="6">
        <v>0</v>
      </c>
      <c r="F9" s="6">
        <v>0</v>
      </c>
      <c r="G9" s="7">
        <v>0</v>
      </c>
      <c r="H9" s="10">
        <v>0</v>
      </c>
      <c r="I9" s="10">
        <v>0</v>
      </c>
      <c r="J9" s="10">
        <v>0</v>
      </c>
      <c r="K9" t="s">
        <v>71</v>
      </c>
    </row>
    <row r="10" spans="1:12" ht="30" x14ac:dyDescent="0.25">
      <c r="A10" s="11" t="s">
        <v>257</v>
      </c>
      <c r="B10" s="6">
        <v>31673</v>
      </c>
      <c r="C10" s="6">
        <v>38839</v>
      </c>
      <c r="D10" s="6">
        <v>0</v>
      </c>
      <c r="E10" s="6">
        <v>24777.9</v>
      </c>
      <c r="F10" s="6">
        <v>24777.9</v>
      </c>
      <c r="G10" s="7">
        <v>0.63796441720950603</v>
      </c>
      <c r="H10" s="10">
        <v>0.50601458655637299</v>
      </c>
      <c r="I10" s="10">
        <v>0.78230353929214203</v>
      </c>
      <c r="J10" s="10">
        <v>0.74</v>
      </c>
      <c r="K10" t="s">
        <v>56</v>
      </c>
    </row>
    <row r="11" spans="1:12" ht="30" x14ac:dyDescent="0.25">
      <c r="A11" s="11" t="s">
        <v>256</v>
      </c>
      <c r="B11" s="6">
        <v>325000</v>
      </c>
      <c r="C11" s="6">
        <v>325000</v>
      </c>
      <c r="D11" s="6">
        <v>0</v>
      </c>
      <c r="E11" s="6">
        <v>0</v>
      </c>
      <c r="F11" s="6">
        <v>0</v>
      </c>
      <c r="G11" s="7">
        <v>0</v>
      </c>
      <c r="H11" s="10">
        <v>0</v>
      </c>
      <c r="I11" s="10">
        <v>0</v>
      </c>
      <c r="J11" s="10">
        <v>0</v>
      </c>
      <c r="K11" t="s">
        <v>86</v>
      </c>
    </row>
    <row r="12" spans="1:12" x14ac:dyDescent="0.25">
      <c r="A12" s="11" t="s">
        <v>255</v>
      </c>
      <c r="B12" s="6">
        <v>20700</v>
      </c>
      <c r="C12" s="6">
        <v>30000</v>
      </c>
      <c r="D12" s="6">
        <v>0</v>
      </c>
      <c r="E12" s="6">
        <v>20700</v>
      </c>
      <c r="F12" s="6">
        <v>20700</v>
      </c>
      <c r="G12" s="7">
        <v>0.69</v>
      </c>
      <c r="H12" s="10">
        <v>0.24637681159420299</v>
      </c>
      <c r="I12" s="10">
        <v>1</v>
      </c>
      <c r="J12" s="10">
        <v>0.79</v>
      </c>
      <c r="K12" t="s">
        <v>56</v>
      </c>
    </row>
    <row r="13" spans="1:12" ht="45" x14ac:dyDescent="0.25">
      <c r="A13" s="11" t="s">
        <v>254</v>
      </c>
      <c r="B13" s="6">
        <v>30000</v>
      </c>
      <c r="C13" s="6">
        <v>30000</v>
      </c>
      <c r="D13" s="6">
        <v>0</v>
      </c>
      <c r="E13" s="6">
        <v>0</v>
      </c>
      <c r="F13" s="6">
        <v>0</v>
      </c>
      <c r="G13" s="7">
        <v>0</v>
      </c>
      <c r="H13" s="10">
        <v>0</v>
      </c>
      <c r="I13" s="10">
        <v>0</v>
      </c>
      <c r="J13" s="10">
        <v>0</v>
      </c>
      <c r="K13" t="s">
        <v>56</v>
      </c>
    </row>
    <row r="14" spans="1:12" ht="30" x14ac:dyDescent="0.25">
      <c r="A14" s="11" t="s">
        <v>253</v>
      </c>
      <c r="B14" s="6">
        <v>4000</v>
      </c>
      <c r="C14" s="6">
        <v>4000</v>
      </c>
      <c r="D14" s="6">
        <v>0</v>
      </c>
      <c r="E14" s="6">
        <v>4000</v>
      </c>
      <c r="F14" s="6">
        <v>4000</v>
      </c>
      <c r="G14" s="7">
        <v>1</v>
      </c>
      <c r="H14" s="10">
        <v>1</v>
      </c>
      <c r="I14" s="10">
        <v>1</v>
      </c>
      <c r="J14" s="10">
        <v>1</v>
      </c>
      <c r="K14" t="s">
        <v>56</v>
      </c>
    </row>
    <row r="15" spans="1:12" ht="30" x14ac:dyDescent="0.25">
      <c r="A15" s="11" t="s">
        <v>252</v>
      </c>
      <c r="B15" s="6">
        <v>2124</v>
      </c>
      <c r="C15" s="6">
        <v>2124</v>
      </c>
      <c r="D15" s="6">
        <v>0</v>
      </c>
      <c r="E15" s="6">
        <v>2123.98</v>
      </c>
      <c r="F15" s="6">
        <v>2123.98</v>
      </c>
      <c r="G15" s="7">
        <v>0.99999058380414296</v>
      </c>
      <c r="H15" s="10">
        <v>0.99999058380414296</v>
      </c>
      <c r="I15" s="10">
        <v>0.99999058380414296</v>
      </c>
      <c r="J15" s="10">
        <v>1</v>
      </c>
      <c r="K15" t="s">
        <v>56</v>
      </c>
    </row>
    <row r="16" spans="1:12" ht="30" x14ac:dyDescent="0.25">
      <c r="A16" s="11" t="s">
        <v>251</v>
      </c>
      <c r="B16" s="6">
        <v>2587</v>
      </c>
      <c r="C16" s="6">
        <v>2587</v>
      </c>
      <c r="D16" s="6">
        <v>0</v>
      </c>
      <c r="E16" s="6">
        <v>2586.6</v>
      </c>
      <c r="F16" s="6">
        <v>2586.6</v>
      </c>
      <c r="G16" s="7">
        <v>0.99984538074990303</v>
      </c>
      <c r="H16" s="10">
        <v>0.99980672593737896</v>
      </c>
      <c r="I16" s="10">
        <v>0.99984538074990303</v>
      </c>
      <c r="J16" s="10">
        <v>1</v>
      </c>
      <c r="K16" t="s">
        <v>80</v>
      </c>
    </row>
    <row r="17" spans="1:11" ht="30" x14ac:dyDescent="0.25">
      <c r="A17" s="11" t="s">
        <v>250</v>
      </c>
      <c r="B17" s="6">
        <v>1003402</v>
      </c>
      <c r="C17" s="6">
        <v>1003402</v>
      </c>
      <c r="D17" s="6">
        <v>0</v>
      </c>
      <c r="E17" s="6">
        <v>679095.95</v>
      </c>
      <c r="F17" s="6">
        <v>679095.95</v>
      </c>
      <c r="G17" s="7">
        <v>0.67679349851804205</v>
      </c>
      <c r="H17" s="10">
        <v>0.29971437170745102</v>
      </c>
      <c r="I17" s="10">
        <v>0.67679349851804205</v>
      </c>
      <c r="J17" s="10">
        <v>0.78</v>
      </c>
      <c r="K17" t="s">
        <v>56</v>
      </c>
    </row>
    <row r="18" spans="1:11" ht="45" x14ac:dyDescent="0.25">
      <c r="A18" s="11" t="s">
        <v>249</v>
      </c>
      <c r="B18" s="6">
        <v>60000</v>
      </c>
      <c r="C18" s="6">
        <v>60000</v>
      </c>
      <c r="D18" s="6">
        <v>0</v>
      </c>
      <c r="E18" s="6">
        <v>0</v>
      </c>
      <c r="F18" s="6">
        <v>0</v>
      </c>
      <c r="G18" s="7">
        <v>0</v>
      </c>
      <c r="H18" s="10">
        <v>0</v>
      </c>
      <c r="I18" s="10">
        <v>0</v>
      </c>
      <c r="J18" s="10">
        <v>0</v>
      </c>
      <c r="K18" t="s">
        <v>56</v>
      </c>
    </row>
    <row r="19" spans="1:11" ht="30" x14ac:dyDescent="0.25">
      <c r="A19" s="11" t="s">
        <v>248</v>
      </c>
      <c r="B19" s="6">
        <v>1766</v>
      </c>
      <c r="C19" s="6">
        <v>2494</v>
      </c>
      <c r="D19" s="6">
        <v>0</v>
      </c>
      <c r="E19" s="6">
        <v>1766</v>
      </c>
      <c r="F19" s="6">
        <v>1766</v>
      </c>
      <c r="G19" s="7">
        <v>0.70809943865276703</v>
      </c>
      <c r="H19" s="10">
        <v>0.21347678369195899</v>
      </c>
      <c r="I19" s="10">
        <v>1</v>
      </c>
      <c r="J19" s="10">
        <v>0.81</v>
      </c>
      <c r="K19" t="s">
        <v>56</v>
      </c>
    </row>
    <row r="20" spans="1:11" ht="45" x14ac:dyDescent="0.25">
      <c r="A20" s="11" t="s">
        <v>247</v>
      </c>
      <c r="B20" s="6">
        <v>3039</v>
      </c>
      <c r="C20" s="6">
        <v>3539</v>
      </c>
      <c r="D20" s="6">
        <v>0</v>
      </c>
      <c r="E20" s="6">
        <v>2289</v>
      </c>
      <c r="F20" s="6">
        <v>2289</v>
      </c>
      <c r="G20" s="7">
        <v>0.64679287934444796</v>
      </c>
      <c r="H20" s="10">
        <v>0.246791707798618</v>
      </c>
      <c r="I20" s="10">
        <v>0.75320829220138197</v>
      </c>
      <c r="J20" s="10">
        <v>0.75</v>
      </c>
      <c r="K20" t="s">
        <v>56</v>
      </c>
    </row>
    <row r="21" spans="1:11" x14ac:dyDescent="0.25">
      <c r="A21" s="11" t="s">
        <v>246</v>
      </c>
      <c r="B21" s="6">
        <v>601136</v>
      </c>
      <c r="C21" s="6">
        <v>879994</v>
      </c>
      <c r="D21" s="6">
        <v>0</v>
      </c>
      <c r="E21" s="6">
        <v>474500.58</v>
      </c>
      <c r="F21" s="6">
        <v>474500.58</v>
      </c>
      <c r="G21" s="7">
        <v>0.53920888096964303</v>
      </c>
      <c r="H21" s="10">
        <v>0.42740787442442302</v>
      </c>
      <c r="I21" s="10">
        <v>0.78933981661387798</v>
      </c>
      <c r="J21" s="10">
        <v>0.64</v>
      </c>
      <c r="K21" t="s">
        <v>56</v>
      </c>
    </row>
    <row r="22" spans="1:11" ht="30" x14ac:dyDescent="0.25">
      <c r="A22" s="11" t="s">
        <v>245</v>
      </c>
      <c r="B22" s="6">
        <v>54558</v>
      </c>
      <c r="C22" s="6">
        <v>71423</v>
      </c>
      <c r="D22" s="6">
        <v>0</v>
      </c>
      <c r="E22" s="6">
        <v>44341.59</v>
      </c>
      <c r="F22" s="6">
        <v>44341.59</v>
      </c>
      <c r="G22" s="7">
        <v>0.62083068479341397</v>
      </c>
      <c r="H22" s="10">
        <v>0.58442391583269204</v>
      </c>
      <c r="I22" s="10">
        <v>0.81274221928956303</v>
      </c>
      <c r="J22" s="10">
        <v>0.72</v>
      </c>
      <c r="K22" t="s">
        <v>56</v>
      </c>
    </row>
    <row r="23" spans="1:11" x14ac:dyDescent="0.25">
      <c r="A23" s="11" t="s">
        <v>244</v>
      </c>
      <c r="B23" s="6">
        <v>17461</v>
      </c>
      <c r="C23" s="6">
        <v>23983</v>
      </c>
      <c r="D23" s="6">
        <v>0</v>
      </c>
      <c r="E23" s="6">
        <v>12237</v>
      </c>
      <c r="F23" s="6">
        <v>12237</v>
      </c>
      <c r="G23" s="7">
        <v>0.51023641746236903</v>
      </c>
      <c r="H23" s="10">
        <v>0.19615142317164</v>
      </c>
      <c r="I23" s="10">
        <v>0.70081896798579701</v>
      </c>
      <c r="J23" s="10">
        <v>0.61</v>
      </c>
      <c r="K23" t="s">
        <v>56</v>
      </c>
    </row>
    <row r="24" spans="1:11" ht="30" x14ac:dyDescent="0.25">
      <c r="A24" s="11" t="s">
        <v>243</v>
      </c>
      <c r="B24" s="6">
        <v>374985</v>
      </c>
      <c r="C24" s="6">
        <v>374985</v>
      </c>
      <c r="D24" s="6">
        <v>0</v>
      </c>
      <c r="E24" s="6">
        <v>337499.14</v>
      </c>
      <c r="F24" s="6">
        <v>337499.14</v>
      </c>
      <c r="G24" s="7">
        <v>0.90003370801498706</v>
      </c>
      <c r="H24" s="10">
        <v>0</v>
      </c>
      <c r="I24" s="10">
        <v>0.90003370801498706</v>
      </c>
      <c r="J24" s="10">
        <v>1</v>
      </c>
      <c r="K24" t="s">
        <v>56</v>
      </c>
    </row>
    <row r="25" spans="1:11" x14ac:dyDescent="0.25">
      <c r="B25" s="6">
        <f>SUBTOTAL(109,Table116[Toplam Yıl Ödeneği])</f>
        <v>3871628</v>
      </c>
      <c r="C25" s="6">
        <f>SUBTOTAL(109,Table116[Toplam Proje Tutarı])</f>
        <v>61631633</v>
      </c>
      <c r="D25" s="6">
        <f>SUBTOTAL(109,Table116[Önceki Yıllar Toplam Harcaması])</f>
        <v>0</v>
      </c>
      <c r="E25" s="6">
        <f>SUBTOTAL(109,Table116[Yılı Harcama Tutarı])</f>
        <v>2172768.0500000003</v>
      </c>
      <c r="F25" s="6">
        <f>SUBTOTAL(109,Table116[Toplam Harcama Tutarı])</f>
        <v>2172768.0500000003</v>
      </c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5" sqref="L5"/>
    </sheetView>
  </sheetViews>
  <sheetFormatPr defaultRowHeight="15" x14ac:dyDescent="0.25"/>
  <cols>
    <col min="1" max="1" width="34.28515625" customWidth="1"/>
    <col min="2" max="2" width="11.28515625" customWidth="1"/>
    <col min="3" max="3" width="14.85546875" customWidth="1"/>
    <col min="4" max="4" width="13.5703125" customWidth="1"/>
    <col min="5" max="5" width="12.42578125" customWidth="1"/>
    <col min="6" max="6" width="12.85546875" customWidth="1"/>
  </cols>
  <sheetData>
    <row r="1" spans="1:12" ht="28.5" customHeight="1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25" customHeight="1" x14ac:dyDescent="0.25"/>
    <row r="3" spans="1:12" ht="62.25" customHeight="1" x14ac:dyDescent="0.25">
      <c r="A3" s="11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2" ht="62.25" customHeight="1" x14ac:dyDescent="0.25">
      <c r="A4" s="11" t="s">
        <v>38</v>
      </c>
      <c r="B4" s="6">
        <v>649000</v>
      </c>
      <c r="C4" s="6">
        <v>649000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0.15</v>
      </c>
    </row>
    <row r="5" spans="1:12" ht="62.25" customHeight="1" x14ac:dyDescent="0.25">
      <c r="A5" s="11" t="s">
        <v>39</v>
      </c>
      <c r="B5" s="6">
        <v>402158.54</v>
      </c>
      <c r="C5" s="6">
        <v>2769460</v>
      </c>
      <c r="D5" s="6">
        <v>2367301.46</v>
      </c>
      <c r="E5" s="6">
        <v>402158.54</v>
      </c>
      <c r="F5" s="6">
        <v>2769460</v>
      </c>
      <c r="G5" s="7">
        <v>1</v>
      </c>
      <c r="H5" s="10">
        <v>0.32157198501864498</v>
      </c>
      <c r="I5" s="10">
        <v>1</v>
      </c>
      <c r="J5" s="10">
        <v>1</v>
      </c>
    </row>
    <row r="6" spans="1:12" ht="62.25" customHeight="1" x14ac:dyDescent="0.25">
      <c r="A6" s="11" t="s">
        <v>40</v>
      </c>
      <c r="B6" s="6">
        <v>311329.34999999998</v>
      </c>
      <c r="C6" s="6">
        <v>4348300</v>
      </c>
      <c r="D6" s="6">
        <v>4036970.65</v>
      </c>
      <c r="E6" s="6">
        <v>311329.34999999998</v>
      </c>
      <c r="F6" s="6">
        <v>4348300</v>
      </c>
      <c r="G6" s="7">
        <v>1</v>
      </c>
      <c r="H6" s="10">
        <v>1</v>
      </c>
      <c r="I6" s="10">
        <v>1</v>
      </c>
      <c r="J6" s="10">
        <v>1</v>
      </c>
    </row>
    <row r="7" spans="1:12" ht="62.25" customHeight="1" x14ac:dyDescent="0.25">
      <c r="A7" s="11" t="s">
        <v>41</v>
      </c>
      <c r="B7" s="6">
        <v>721240.4</v>
      </c>
      <c r="C7" s="6">
        <v>5325340</v>
      </c>
      <c r="D7" s="6">
        <v>4604099.5999999996</v>
      </c>
      <c r="E7" s="6">
        <v>721240.4</v>
      </c>
      <c r="F7" s="6">
        <v>5325340</v>
      </c>
      <c r="G7" s="7">
        <v>1</v>
      </c>
      <c r="H7" s="10">
        <v>0.45329774926640298</v>
      </c>
      <c r="I7" s="10">
        <v>1</v>
      </c>
      <c r="J7" s="10">
        <v>1</v>
      </c>
    </row>
    <row r="8" spans="1:12" ht="62.25" customHeight="1" x14ac:dyDescent="0.25">
      <c r="A8" s="11" t="s">
        <v>42</v>
      </c>
      <c r="B8" s="6">
        <v>728172.3</v>
      </c>
      <c r="C8" s="6">
        <v>7170860</v>
      </c>
      <c r="D8" s="6">
        <v>6442687.7000000002</v>
      </c>
      <c r="E8" s="6">
        <v>728172.3</v>
      </c>
      <c r="F8" s="6">
        <v>7170860</v>
      </c>
      <c r="G8" s="7">
        <v>1</v>
      </c>
      <c r="H8" s="10">
        <v>1</v>
      </c>
      <c r="I8" s="10">
        <v>1</v>
      </c>
      <c r="J8" s="10">
        <v>1</v>
      </c>
    </row>
    <row r="9" spans="1:12" ht="62.25" customHeight="1" x14ac:dyDescent="0.25">
      <c r="A9" s="11" t="s">
        <v>43</v>
      </c>
      <c r="B9" s="6">
        <v>364063.78</v>
      </c>
      <c r="C9" s="6">
        <v>2633996</v>
      </c>
      <c r="D9" s="6">
        <v>2269932.2200000002</v>
      </c>
      <c r="E9" s="6">
        <v>0</v>
      </c>
      <c r="F9" s="6">
        <v>2269932.2200000002</v>
      </c>
      <c r="G9" s="7">
        <v>0.86178271341338397</v>
      </c>
      <c r="H9" s="10">
        <v>0</v>
      </c>
      <c r="I9" s="10">
        <v>0</v>
      </c>
      <c r="J9" s="10">
        <v>1</v>
      </c>
    </row>
    <row r="10" spans="1:12" ht="62.25" customHeight="1" x14ac:dyDescent="0.25">
      <c r="A10" s="11" t="s">
        <v>44</v>
      </c>
      <c r="B10" s="6">
        <v>360877.3</v>
      </c>
      <c r="C10" s="6">
        <v>7015100</v>
      </c>
      <c r="D10" s="6">
        <v>6654222.7000000002</v>
      </c>
      <c r="E10" s="6">
        <v>360877.3</v>
      </c>
      <c r="F10" s="6">
        <v>7015100</v>
      </c>
      <c r="G10" s="7">
        <v>1</v>
      </c>
      <c r="H10" s="10">
        <v>1</v>
      </c>
      <c r="I10" s="10">
        <v>1</v>
      </c>
      <c r="J10" s="10">
        <v>1</v>
      </c>
    </row>
    <row r="11" spans="1:12" ht="62.25" customHeight="1" x14ac:dyDescent="0.25">
      <c r="A11" s="11" t="s">
        <v>45</v>
      </c>
      <c r="B11" s="6">
        <v>219575.04000000001</v>
      </c>
      <c r="C11" s="6">
        <v>7275782.3700000001</v>
      </c>
      <c r="D11" s="6">
        <v>7056207.3300000001</v>
      </c>
      <c r="E11" s="6">
        <v>219575.04000000001</v>
      </c>
      <c r="F11" s="6">
        <v>7275782.3700000001</v>
      </c>
      <c r="G11" s="7">
        <v>1</v>
      </c>
      <c r="H11" s="10">
        <v>1</v>
      </c>
      <c r="I11" s="10">
        <v>1</v>
      </c>
      <c r="J11" s="10">
        <v>1</v>
      </c>
    </row>
    <row r="12" spans="1:12" ht="62.25" customHeight="1" x14ac:dyDescent="0.25">
      <c r="A12" s="11" t="s">
        <v>46</v>
      </c>
      <c r="B12" s="6">
        <v>48069.38</v>
      </c>
      <c r="C12" s="6">
        <v>8354400</v>
      </c>
      <c r="D12" s="6">
        <v>8306330.6200000001</v>
      </c>
      <c r="E12" s="6">
        <v>48069.38</v>
      </c>
      <c r="F12" s="6">
        <v>8354400</v>
      </c>
      <c r="G12" s="7">
        <v>1</v>
      </c>
      <c r="H12" s="10">
        <v>1</v>
      </c>
      <c r="I12" s="10">
        <v>1</v>
      </c>
      <c r="J12" s="10">
        <v>1</v>
      </c>
    </row>
    <row r="13" spans="1:12" ht="62.25" customHeight="1" x14ac:dyDescent="0.25">
      <c r="A13" s="11" t="s">
        <v>47</v>
      </c>
      <c r="B13" s="6">
        <v>455988.5</v>
      </c>
      <c r="C13" s="6">
        <v>9708090.0999999996</v>
      </c>
      <c r="D13" s="6">
        <v>9252101.5999999996</v>
      </c>
      <c r="E13" s="6">
        <v>455988.5</v>
      </c>
      <c r="F13" s="6">
        <v>9708090.0999999996</v>
      </c>
      <c r="G13" s="7">
        <v>1</v>
      </c>
      <c r="H13" s="10">
        <v>1</v>
      </c>
      <c r="I13" s="10">
        <v>1</v>
      </c>
      <c r="J13" s="10">
        <v>1</v>
      </c>
    </row>
    <row r="14" spans="1:12" ht="62.25" customHeight="1" x14ac:dyDescent="0.25">
      <c r="A14" s="11" t="s">
        <v>48</v>
      </c>
      <c r="B14" s="6">
        <v>91316.28</v>
      </c>
      <c r="C14" s="6">
        <v>11179320</v>
      </c>
      <c r="D14" s="6">
        <v>11088003.720000001</v>
      </c>
      <c r="E14" s="6">
        <v>91316.28</v>
      </c>
      <c r="F14" s="6">
        <v>11179320</v>
      </c>
      <c r="G14" s="7">
        <v>1</v>
      </c>
      <c r="H14" s="10">
        <v>0</v>
      </c>
      <c r="I14" s="10">
        <v>1</v>
      </c>
      <c r="J14" s="10">
        <v>1</v>
      </c>
    </row>
    <row r="15" spans="1:12" ht="62.25" customHeight="1" x14ac:dyDescent="0.25">
      <c r="A15" s="11" t="s">
        <v>49</v>
      </c>
      <c r="B15" s="6">
        <v>1265563.6100000001</v>
      </c>
      <c r="C15" s="6">
        <v>15167720</v>
      </c>
      <c r="D15" s="6">
        <v>13902156.390000001</v>
      </c>
      <c r="E15" s="6">
        <v>1265563.6100000001</v>
      </c>
      <c r="F15" s="6">
        <v>15167720</v>
      </c>
      <c r="G15" s="7">
        <v>1</v>
      </c>
      <c r="H15" s="10">
        <v>0.75929486468088303</v>
      </c>
      <c r="I15" s="10">
        <v>1</v>
      </c>
      <c r="J15" s="10">
        <v>1</v>
      </c>
    </row>
    <row r="16" spans="1:12" ht="62.25" customHeight="1" x14ac:dyDescent="0.25">
      <c r="A16" s="11" t="s">
        <v>50</v>
      </c>
      <c r="B16" s="6">
        <v>693343.79</v>
      </c>
      <c r="C16" s="6">
        <v>5407350</v>
      </c>
      <c r="D16" s="6">
        <v>4714006.21</v>
      </c>
      <c r="E16" s="6">
        <v>693343.79</v>
      </c>
      <c r="F16" s="6">
        <v>5407350</v>
      </c>
      <c r="G16" s="7">
        <v>1</v>
      </c>
      <c r="H16" s="10">
        <v>1</v>
      </c>
      <c r="I16" s="10">
        <v>1</v>
      </c>
      <c r="J16" s="10">
        <v>1</v>
      </c>
    </row>
    <row r="17" spans="1:10" ht="62.25" customHeight="1" x14ac:dyDescent="0.25">
      <c r="A17" s="11" t="s">
        <v>51</v>
      </c>
      <c r="B17" s="6">
        <v>1396094.62</v>
      </c>
      <c r="C17" s="6">
        <v>46000000</v>
      </c>
      <c r="D17" s="6">
        <v>44603905.380000003</v>
      </c>
      <c r="E17" s="6">
        <v>0</v>
      </c>
      <c r="F17" s="6">
        <v>44603905.380000003</v>
      </c>
      <c r="G17" s="7">
        <v>0.96965011695652203</v>
      </c>
      <c r="H17" s="10">
        <v>0</v>
      </c>
      <c r="I17" s="10">
        <v>0</v>
      </c>
      <c r="J17" s="10">
        <v>0.99</v>
      </c>
    </row>
    <row r="18" spans="1:10" ht="50.25" customHeight="1" x14ac:dyDescent="0.25">
      <c r="A18" s="11" t="s">
        <v>52</v>
      </c>
      <c r="B18" s="6">
        <v>23541000</v>
      </c>
      <c r="C18" s="6">
        <v>23541000</v>
      </c>
      <c r="D18" s="6">
        <v>0</v>
      </c>
      <c r="E18" s="6">
        <v>9331188.8900000006</v>
      </c>
      <c r="F18" s="6">
        <v>9331188.8900000006</v>
      </c>
      <c r="G18" s="7">
        <v>0.39638031052206801</v>
      </c>
      <c r="H18" s="10">
        <v>0.23235843846905399</v>
      </c>
      <c r="I18" s="10">
        <v>0.39638031052206801</v>
      </c>
      <c r="J18" s="10">
        <v>0.45</v>
      </c>
    </row>
    <row r="19" spans="1:10" ht="54.75" customHeight="1" x14ac:dyDescent="0.25">
      <c r="A19" s="11" t="s">
        <v>53</v>
      </c>
      <c r="B19" s="6">
        <v>742518.77</v>
      </c>
      <c r="C19" s="6">
        <v>6338003.1100000003</v>
      </c>
      <c r="D19" s="6">
        <v>5595484.3399999999</v>
      </c>
      <c r="E19" s="6">
        <v>742518.77</v>
      </c>
      <c r="F19" s="6">
        <v>6338003.1100000003</v>
      </c>
      <c r="G19" s="7">
        <v>1</v>
      </c>
      <c r="H19" s="10">
        <v>0</v>
      </c>
      <c r="I19" s="10">
        <v>1</v>
      </c>
      <c r="J19" s="10">
        <v>1</v>
      </c>
    </row>
    <row r="20" spans="1:10" ht="62.25" customHeight="1" x14ac:dyDescent="0.25">
      <c r="B20" s="6">
        <f>SUBTOTAL(109,Table14[Toplam Yıl Ödeneği])</f>
        <v>31990311.66</v>
      </c>
      <c r="C20" s="6">
        <f>SUBTOTAL(109,Table14[Toplam Proje Tutarı])</f>
        <v>162883721.58000001</v>
      </c>
      <c r="D20" s="6">
        <f>SUBTOTAL(109,Table14[Önceki Yıllar Toplam Harcaması])</f>
        <v>130893409.91999999</v>
      </c>
      <c r="E20" s="6">
        <f>SUBTOTAL(109,Table14[Yılı Harcama Tutarı])</f>
        <v>15371342.149999999</v>
      </c>
      <c r="F20" s="6">
        <f>SUBTOTAL(109,Table14[Toplam Harcama Tutarı])</f>
        <v>146264752.06999999</v>
      </c>
    </row>
    <row r="21" spans="1:10" ht="62.25" customHeight="1" x14ac:dyDescent="0.25"/>
    <row r="22" spans="1:10" ht="62.25" customHeight="1" x14ac:dyDescent="0.25"/>
    <row r="23" spans="1:10" ht="62.25" customHeight="1" x14ac:dyDescent="0.25"/>
    <row r="24" spans="1:10" ht="62.25" customHeight="1" x14ac:dyDescent="0.25"/>
    <row r="25" spans="1:10" ht="62.25" customHeight="1" x14ac:dyDescent="0.25"/>
    <row r="26" spans="1:10" ht="62.25" customHeight="1" x14ac:dyDescent="0.25"/>
    <row r="27" spans="1:10" ht="62.25" customHeight="1" x14ac:dyDescent="0.25"/>
    <row r="28" spans="1:10" ht="62.25" customHeight="1" x14ac:dyDescent="0.25"/>
    <row r="29" spans="1:10" ht="62.25" customHeight="1" x14ac:dyDescent="0.25"/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workbookViewId="0">
      <selection activeCell="O7" sqref="O7"/>
    </sheetView>
  </sheetViews>
  <sheetFormatPr defaultRowHeight="15" x14ac:dyDescent="0.25"/>
  <cols>
    <col min="1" max="1" width="41" customWidth="1"/>
    <col min="2" max="2" width="11.42578125" customWidth="1"/>
    <col min="3" max="3" width="11.140625" customWidth="1"/>
    <col min="5" max="5" width="11.28515625" customWidth="1"/>
    <col min="6" max="6" width="11" customWidth="1"/>
  </cols>
  <sheetData>
    <row r="1" spans="1:12" x14ac:dyDescent="0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75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60" x14ac:dyDescent="0.25">
      <c r="A4" s="11" t="s">
        <v>420</v>
      </c>
      <c r="B4" s="6">
        <v>1262181</v>
      </c>
      <c r="C4" s="6">
        <v>1262181</v>
      </c>
      <c r="D4" s="6">
        <v>0</v>
      </c>
      <c r="E4" s="6">
        <v>189980</v>
      </c>
      <c r="F4" s="6">
        <v>189980</v>
      </c>
      <c r="G4" s="7">
        <v>0.15051723960351199</v>
      </c>
      <c r="H4" s="10">
        <v>0.15051723960351199</v>
      </c>
      <c r="I4" s="10">
        <v>0.15051723960351199</v>
      </c>
      <c r="J4" s="10">
        <v>0.2</v>
      </c>
      <c r="K4" t="s">
        <v>56</v>
      </c>
    </row>
    <row r="5" spans="1:12" x14ac:dyDescent="0.25">
      <c r="A5" s="11" t="s">
        <v>419</v>
      </c>
      <c r="B5" s="6">
        <v>1716731</v>
      </c>
      <c r="C5" s="6">
        <v>1716731</v>
      </c>
      <c r="D5" s="6">
        <v>0</v>
      </c>
      <c r="E5" s="6">
        <v>0</v>
      </c>
      <c r="F5" s="6">
        <v>0</v>
      </c>
      <c r="G5" s="7">
        <v>0</v>
      </c>
      <c r="H5" s="10">
        <v>0</v>
      </c>
      <c r="I5" s="10">
        <v>0</v>
      </c>
      <c r="J5" s="10">
        <v>0</v>
      </c>
      <c r="K5" t="s">
        <v>80</v>
      </c>
    </row>
    <row r="6" spans="1:12" ht="45" x14ac:dyDescent="0.25">
      <c r="A6" s="11" t="s">
        <v>418</v>
      </c>
      <c r="B6" s="6">
        <v>404161.8</v>
      </c>
      <c r="C6" s="6">
        <v>404161.8</v>
      </c>
      <c r="D6" s="6">
        <v>0</v>
      </c>
      <c r="E6" s="6">
        <v>404161.8</v>
      </c>
      <c r="F6" s="6">
        <v>404161.8</v>
      </c>
      <c r="G6" s="7">
        <v>1</v>
      </c>
      <c r="H6" s="10">
        <v>1</v>
      </c>
      <c r="I6" s="10">
        <v>1</v>
      </c>
      <c r="J6" s="10">
        <v>1</v>
      </c>
      <c r="K6" t="s">
        <v>56</v>
      </c>
    </row>
    <row r="7" spans="1:12" ht="30" x14ac:dyDescent="0.25">
      <c r="A7" s="11" t="s">
        <v>417</v>
      </c>
      <c r="B7" s="6">
        <v>441320</v>
      </c>
      <c r="C7" s="6">
        <v>441320</v>
      </c>
      <c r="D7" s="6">
        <v>0</v>
      </c>
      <c r="E7" s="6">
        <v>0</v>
      </c>
      <c r="F7" s="6">
        <v>0</v>
      </c>
      <c r="G7" s="7">
        <v>0</v>
      </c>
      <c r="H7" s="10">
        <v>0</v>
      </c>
      <c r="I7" s="10">
        <v>0</v>
      </c>
      <c r="J7" s="10">
        <v>0</v>
      </c>
      <c r="K7" t="s">
        <v>109</v>
      </c>
    </row>
    <row r="8" spans="1:12" ht="45" x14ac:dyDescent="0.25">
      <c r="A8" s="11" t="s">
        <v>416</v>
      </c>
      <c r="B8" s="6">
        <v>118000</v>
      </c>
      <c r="C8" s="6">
        <v>118000</v>
      </c>
      <c r="D8" s="6">
        <v>0</v>
      </c>
      <c r="E8" s="6">
        <v>0</v>
      </c>
      <c r="F8" s="6">
        <v>0</v>
      </c>
      <c r="G8" s="7">
        <v>0</v>
      </c>
      <c r="H8" s="10">
        <v>0</v>
      </c>
      <c r="I8" s="10">
        <v>0</v>
      </c>
      <c r="J8" s="10">
        <v>1</v>
      </c>
      <c r="K8" t="s">
        <v>71</v>
      </c>
    </row>
    <row r="9" spans="1:12" ht="60" x14ac:dyDescent="0.25">
      <c r="A9" s="11" t="s">
        <v>415</v>
      </c>
      <c r="B9" s="6">
        <v>783520</v>
      </c>
      <c r="C9" s="6">
        <v>783520</v>
      </c>
      <c r="D9" s="6">
        <v>0</v>
      </c>
      <c r="E9" s="6">
        <v>0</v>
      </c>
      <c r="F9" s="6">
        <v>0</v>
      </c>
      <c r="G9" s="7">
        <v>0</v>
      </c>
      <c r="H9" s="10">
        <v>0</v>
      </c>
      <c r="I9" s="10">
        <v>0</v>
      </c>
      <c r="J9" s="10">
        <v>0</v>
      </c>
      <c r="K9" t="s">
        <v>71</v>
      </c>
    </row>
    <row r="10" spans="1:12" ht="30" x14ac:dyDescent="0.25">
      <c r="A10" s="11" t="s">
        <v>414</v>
      </c>
      <c r="B10" s="6">
        <v>436600</v>
      </c>
      <c r="C10" s="6">
        <v>436600</v>
      </c>
      <c r="D10" s="6">
        <v>0</v>
      </c>
      <c r="E10" s="6">
        <v>0</v>
      </c>
      <c r="F10" s="6">
        <v>0</v>
      </c>
      <c r="G10" s="7">
        <v>0</v>
      </c>
      <c r="H10" s="10">
        <v>0</v>
      </c>
      <c r="I10" s="10">
        <v>0</v>
      </c>
      <c r="J10" s="10">
        <v>0</v>
      </c>
      <c r="K10" t="s">
        <v>71</v>
      </c>
    </row>
    <row r="11" spans="1:12" ht="30" x14ac:dyDescent="0.25">
      <c r="A11" s="11" t="s">
        <v>413</v>
      </c>
      <c r="B11" s="6">
        <v>631300</v>
      </c>
      <c r="C11" s="6">
        <v>631300</v>
      </c>
      <c r="D11" s="6">
        <v>0</v>
      </c>
      <c r="E11" s="6">
        <v>0</v>
      </c>
      <c r="F11" s="6">
        <v>0</v>
      </c>
      <c r="G11" s="7">
        <v>0</v>
      </c>
      <c r="H11" s="10">
        <v>0</v>
      </c>
      <c r="I11" s="10">
        <v>0</v>
      </c>
      <c r="J11" s="10">
        <v>0</v>
      </c>
      <c r="K11" t="s">
        <v>71</v>
      </c>
    </row>
    <row r="12" spans="1:12" ht="30" x14ac:dyDescent="0.25">
      <c r="A12" s="11" t="s">
        <v>412</v>
      </c>
      <c r="B12" s="6">
        <v>17110</v>
      </c>
      <c r="C12" s="6">
        <v>17110</v>
      </c>
      <c r="D12" s="6">
        <v>0</v>
      </c>
      <c r="E12" s="6">
        <v>17110</v>
      </c>
      <c r="F12" s="6">
        <v>17110</v>
      </c>
      <c r="G12" s="7">
        <v>1</v>
      </c>
      <c r="H12" s="10">
        <v>1</v>
      </c>
      <c r="I12" s="10">
        <v>1</v>
      </c>
      <c r="J12" s="10">
        <v>1</v>
      </c>
      <c r="K12" t="s">
        <v>56</v>
      </c>
    </row>
    <row r="13" spans="1:12" ht="45" x14ac:dyDescent="0.25">
      <c r="A13" s="11" t="s">
        <v>411</v>
      </c>
      <c r="B13" s="6">
        <v>380000</v>
      </c>
      <c r="C13" s="6">
        <v>380000</v>
      </c>
      <c r="D13" s="6">
        <v>0</v>
      </c>
      <c r="E13" s="6">
        <v>0</v>
      </c>
      <c r="F13" s="6">
        <v>0</v>
      </c>
      <c r="G13" s="7">
        <v>0</v>
      </c>
      <c r="H13" s="10">
        <v>0</v>
      </c>
      <c r="I13" s="10">
        <v>0</v>
      </c>
      <c r="J13" s="10">
        <v>0</v>
      </c>
      <c r="K13" t="s">
        <v>109</v>
      </c>
    </row>
    <row r="14" spans="1:12" ht="30" x14ac:dyDescent="0.25">
      <c r="A14" s="11" t="s">
        <v>410</v>
      </c>
      <c r="B14" s="6">
        <v>1408920</v>
      </c>
      <c r="C14" s="6">
        <v>1408920</v>
      </c>
      <c r="D14" s="6">
        <v>0</v>
      </c>
      <c r="E14" s="6">
        <v>0</v>
      </c>
      <c r="F14" s="6">
        <v>0</v>
      </c>
      <c r="G14" s="7">
        <v>0</v>
      </c>
      <c r="H14" s="10">
        <v>0</v>
      </c>
      <c r="I14" s="10">
        <v>0</v>
      </c>
      <c r="J14" s="10">
        <v>0</v>
      </c>
      <c r="K14" t="s">
        <v>71</v>
      </c>
    </row>
    <row r="15" spans="1:12" ht="45" x14ac:dyDescent="0.25">
      <c r="A15" s="11" t="s">
        <v>409</v>
      </c>
      <c r="B15" s="6">
        <v>277010</v>
      </c>
      <c r="C15" s="6">
        <v>372000</v>
      </c>
      <c r="D15" s="6">
        <v>94990</v>
      </c>
      <c r="E15" s="6">
        <v>277010</v>
      </c>
      <c r="F15" s="6">
        <v>372000</v>
      </c>
      <c r="G15" s="7">
        <v>1</v>
      </c>
      <c r="H15" s="10">
        <v>1</v>
      </c>
      <c r="I15" s="10">
        <v>1</v>
      </c>
      <c r="J15" s="10">
        <v>1</v>
      </c>
      <c r="K15" t="s">
        <v>80</v>
      </c>
    </row>
    <row r="16" spans="1:12" ht="30" x14ac:dyDescent="0.25">
      <c r="A16" s="11" t="s">
        <v>408</v>
      </c>
      <c r="B16" s="6">
        <v>1288119</v>
      </c>
      <c r="C16" s="6">
        <v>1288119</v>
      </c>
      <c r="D16" s="6">
        <v>0</v>
      </c>
      <c r="E16" s="6">
        <v>1288119</v>
      </c>
      <c r="F16" s="6">
        <v>1288119</v>
      </c>
      <c r="G16" s="7">
        <v>1</v>
      </c>
      <c r="H16" s="10">
        <v>1</v>
      </c>
      <c r="I16" s="10">
        <v>1</v>
      </c>
      <c r="J16" s="10">
        <v>1</v>
      </c>
      <c r="K16" t="s">
        <v>56</v>
      </c>
    </row>
    <row r="17" spans="1:11" ht="30" x14ac:dyDescent="0.25">
      <c r="A17" s="11" t="s">
        <v>407</v>
      </c>
      <c r="B17" s="6">
        <v>380000</v>
      </c>
      <c r="C17" s="6">
        <v>380000</v>
      </c>
      <c r="D17" s="6">
        <v>0</v>
      </c>
      <c r="E17" s="6">
        <v>349456.1</v>
      </c>
      <c r="F17" s="6">
        <v>349456.1</v>
      </c>
      <c r="G17" s="7">
        <v>0.91962131578947404</v>
      </c>
      <c r="H17" s="10">
        <v>0.91962131578947404</v>
      </c>
      <c r="I17" s="10">
        <v>0.91962131578947404</v>
      </c>
      <c r="J17" s="10">
        <v>0.95</v>
      </c>
      <c r="K17" t="s">
        <v>56</v>
      </c>
    </row>
    <row r="18" spans="1:11" ht="60" x14ac:dyDescent="0.25">
      <c r="A18" s="11" t="s">
        <v>406</v>
      </c>
      <c r="B18" s="6">
        <v>219539</v>
      </c>
      <c r="C18" s="6">
        <v>219539</v>
      </c>
      <c r="D18" s="6">
        <v>0</v>
      </c>
      <c r="E18" s="6">
        <v>0</v>
      </c>
      <c r="F18" s="6">
        <v>0</v>
      </c>
      <c r="G18" s="7">
        <v>0</v>
      </c>
      <c r="H18" s="10">
        <v>0</v>
      </c>
      <c r="I18" s="10">
        <v>0</v>
      </c>
      <c r="J18" s="10">
        <v>0</v>
      </c>
      <c r="K18" t="s">
        <v>66</v>
      </c>
    </row>
    <row r="19" spans="1:11" ht="60" x14ac:dyDescent="0.25">
      <c r="A19" s="11" t="s">
        <v>405</v>
      </c>
      <c r="B19" s="6">
        <v>711487</v>
      </c>
      <c r="C19" s="6">
        <v>711487</v>
      </c>
      <c r="D19" s="6">
        <v>0</v>
      </c>
      <c r="E19" s="6">
        <v>0</v>
      </c>
      <c r="F19" s="6">
        <v>0</v>
      </c>
      <c r="G19" s="7">
        <v>0</v>
      </c>
      <c r="H19" s="10">
        <v>0</v>
      </c>
      <c r="I19" s="10">
        <v>0</v>
      </c>
      <c r="J19" s="10">
        <v>0</v>
      </c>
      <c r="K19" t="s">
        <v>119</v>
      </c>
    </row>
    <row r="20" spans="1:11" ht="75" x14ac:dyDescent="0.25">
      <c r="A20" s="11" t="s">
        <v>404</v>
      </c>
      <c r="B20" s="6">
        <v>1085600</v>
      </c>
      <c r="C20" s="6">
        <v>1085600</v>
      </c>
      <c r="D20" s="6">
        <v>0</v>
      </c>
      <c r="E20" s="6">
        <v>0</v>
      </c>
      <c r="F20" s="6">
        <v>0</v>
      </c>
      <c r="G20" s="7">
        <v>0</v>
      </c>
      <c r="H20" s="10">
        <v>0</v>
      </c>
      <c r="I20" s="10">
        <v>0</v>
      </c>
      <c r="J20" s="10">
        <v>0</v>
      </c>
      <c r="K20" t="s">
        <v>71</v>
      </c>
    </row>
    <row r="21" spans="1:11" ht="45" x14ac:dyDescent="0.25">
      <c r="A21" s="11" t="s">
        <v>403</v>
      </c>
      <c r="B21" s="6">
        <v>1188852.5</v>
      </c>
      <c r="C21" s="6">
        <v>1188852.5</v>
      </c>
      <c r="D21" s="6">
        <v>0</v>
      </c>
      <c r="E21" s="6">
        <v>0</v>
      </c>
      <c r="F21" s="6">
        <v>0</v>
      </c>
      <c r="G21" s="7">
        <v>0</v>
      </c>
      <c r="H21" s="10">
        <v>0</v>
      </c>
      <c r="I21" s="10">
        <v>0</v>
      </c>
      <c r="J21" s="10">
        <v>0</v>
      </c>
      <c r="K21" t="s">
        <v>71</v>
      </c>
    </row>
    <row r="22" spans="1:11" ht="30" x14ac:dyDescent="0.25">
      <c r="A22" s="11" t="s">
        <v>402</v>
      </c>
      <c r="B22" s="6">
        <v>1291401</v>
      </c>
      <c r="C22" s="6">
        <v>1291401</v>
      </c>
      <c r="D22" s="6">
        <v>0</v>
      </c>
      <c r="E22" s="6">
        <v>0</v>
      </c>
      <c r="F22" s="6">
        <v>0</v>
      </c>
      <c r="G22" s="7">
        <v>0</v>
      </c>
      <c r="H22" s="10">
        <v>0</v>
      </c>
      <c r="I22" s="10">
        <v>0</v>
      </c>
      <c r="J22" s="10">
        <v>0</v>
      </c>
      <c r="K22" t="s">
        <v>78</v>
      </c>
    </row>
    <row r="23" spans="1:11" ht="30" x14ac:dyDescent="0.25">
      <c r="A23" s="11" t="s">
        <v>401</v>
      </c>
      <c r="B23" s="6">
        <v>596960</v>
      </c>
      <c r="C23" s="6">
        <v>596960</v>
      </c>
      <c r="D23" s="6">
        <v>0</v>
      </c>
      <c r="E23" s="6">
        <v>596960</v>
      </c>
      <c r="F23" s="6">
        <v>596960</v>
      </c>
      <c r="G23" s="7">
        <v>1</v>
      </c>
      <c r="H23" s="10">
        <v>1</v>
      </c>
      <c r="I23" s="10">
        <v>1</v>
      </c>
      <c r="J23" s="10">
        <v>1</v>
      </c>
      <c r="K23" t="s">
        <v>56</v>
      </c>
    </row>
    <row r="24" spans="1:11" ht="30" x14ac:dyDescent="0.25">
      <c r="A24" s="11" t="s">
        <v>400</v>
      </c>
      <c r="B24" s="6">
        <v>215251</v>
      </c>
      <c r="C24" s="6">
        <v>215251</v>
      </c>
      <c r="D24" s="6">
        <v>0</v>
      </c>
      <c r="E24" s="6">
        <v>215251</v>
      </c>
      <c r="F24" s="6">
        <v>215251</v>
      </c>
      <c r="G24" s="7">
        <v>1</v>
      </c>
      <c r="H24" s="10">
        <v>1</v>
      </c>
      <c r="I24" s="10">
        <v>1</v>
      </c>
      <c r="J24" s="10">
        <v>1</v>
      </c>
      <c r="K24" t="s">
        <v>66</v>
      </c>
    </row>
    <row r="25" spans="1:11" ht="60" x14ac:dyDescent="0.25">
      <c r="A25" s="11" t="s">
        <v>399</v>
      </c>
      <c r="B25" s="6">
        <v>448400</v>
      </c>
      <c r="C25" s="6">
        <v>448400</v>
      </c>
      <c r="D25" s="6">
        <v>0</v>
      </c>
      <c r="E25" s="6">
        <v>0</v>
      </c>
      <c r="F25" s="6">
        <v>0</v>
      </c>
      <c r="G25" s="7">
        <v>0</v>
      </c>
      <c r="H25" s="10">
        <v>0</v>
      </c>
      <c r="I25" s="10">
        <v>0</v>
      </c>
      <c r="J25" s="10">
        <v>0</v>
      </c>
      <c r="K25" t="s">
        <v>71</v>
      </c>
    </row>
    <row r="26" spans="1:11" x14ac:dyDescent="0.25">
      <c r="A26" s="11" t="s">
        <v>398</v>
      </c>
      <c r="B26" s="6">
        <v>84045</v>
      </c>
      <c r="C26" s="6">
        <v>293790</v>
      </c>
      <c r="D26" s="6">
        <v>209745</v>
      </c>
      <c r="E26" s="6">
        <v>84045</v>
      </c>
      <c r="F26" s="6">
        <v>293790</v>
      </c>
      <c r="G26" s="7">
        <v>1</v>
      </c>
      <c r="H26" s="10">
        <v>0</v>
      </c>
      <c r="I26" s="10">
        <v>1</v>
      </c>
      <c r="J26" s="10">
        <v>1</v>
      </c>
      <c r="K26" t="s">
        <v>56</v>
      </c>
    </row>
    <row r="27" spans="1:11" x14ac:dyDescent="0.25">
      <c r="A27" s="11" t="s">
        <v>397</v>
      </c>
      <c r="B27" s="6">
        <v>1130000</v>
      </c>
      <c r="C27" s="6">
        <v>1130000</v>
      </c>
      <c r="D27" s="6">
        <v>0</v>
      </c>
      <c r="E27" s="6">
        <v>0</v>
      </c>
      <c r="F27" s="6">
        <v>0</v>
      </c>
      <c r="G27" s="7">
        <v>0</v>
      </c>
      <c r="H27" s="10">
        <v>0</v>
      </c>
      <c r="I27" s="10">
        <v>0</v>
      </c>
      <c r="J27" s="10">
        <v>0</v>
      </c>
      <c r="K27" t="s">
        <v>119</v>
      </c>
    </row>
    <row r="28" spans="1:11" ht="30" x14ac:dyDescent="0.25">
      <c r="A28" s="11" t="s">
        <v>396</v>
      </c>
      <c r="B28" s="6">
        <v>342580</v>
      </c>
      <c r="C28" s="6">
        <v>342580</v>
      </c>
      <c r="D28" s="6">
        <v>0</v>
      </c>
      <c r="E28" s="6">
        <v>0</v>
      </c>
      <c r="F28" s="6">
        <v>0</v>
      </c>
      <c r="G28" s="7">
        <v>0</v>
      </c>
      <c r="H28" s="10">
        <v>0</v>
      </c>
      <c r="I28" s="10">
        <v>0</v>
      </c>
      <c r="J28" s="10">
        <v>0</v>
      </c>
      <c r="K28" t="s">
        <v>119</v>
      </c>
    </row>
    <row r="29" spans="1:11" ht="30" x14ac:dyDescent="0.25">
      <c r="A29" s="11" t="s">
        <v>395</v>
      </c>
      <c r="B29" s="6">
        <v>1637488</v>
      </c>
      <c r="C29" s="6">
        <v>1637488</v>
      </c>
      <c r="D29" s="6">
        <v>0</v>
      </c>
      <c r="E29" s="6">
        <v>472435</v>
      </c>
      <c r="F29" s="6">
        <v>472435</v>
      </c>
      <c r="G29" s="7">
        <v>0.28851203795081198</v>
      </c>
      <c r="H29" s="10">
        <v>0.28851203795081198</v>
      </c>
      <c r="I29" s="10">
        <v>0.28851203795081198</v>
      </c>
      <c r="J29" s="10">
        <v>0.4</v>
      </c>
      <c r="K29" t="s">
        <v>119</v>
      </c>
    </row>
    <row r="30" spans="1:11" ht="30" x14ac:dyDescent="0.25">
      <c r="A30" s="11" t="s">
        <v>394</v>
      </c>
      <c r="B30" s="6">
        <v>958160</v>
      </c>
      <c r="C30" s="6">
        <v>958160</v>
      </c>
      <c r="D30" s="6">
        <v>0</v>
      </c>
      <c r="E30" s="6">
        <v>957010</v>
      </c>
      <c r="F30" s="6">
        <v>957010</v>
      </c>
      <c r="G30" s="7">
        <v>0.99879978291725802</v>
      </c>
      <c r="H30" s="10">
        <v>0.99879978291725802</v>
      </c>
      <c r="I30" s="10">
        <v>0.99879978291725802</v>
      </c>
      <c r="J30" s="10">
        <v>1</v>
      </c>
      <c r="K30" t="s">
        <v>119</v>
      </c>
    </row>
    <row r="31" spans="1:11" ht="30" x14ac:dyDescent="0.25">
      <c r="A31" s="11" t="s">
        <v>393</v>
      </c>
      <c r="B31" s="6">
        <v>1018915</v>
      </c>
      <c r="C31" s="6">
        <v>1018915</v>
      </c>
      <c r="D31" s="6">
        <v>0</v>
      </c>
      <c r="E31" s="6">
        <v>0</v>
      </c>
      <c r="F31" s="6">
        <v>0</v>
      </c>
      <c r="G31" s="7">
        <v>0</v>
      </c>
      <c r="H31" s="10">
        <v>0</v>
      </c>
      <c r="I31" s="10">
        <v>0</v>
      </c>
      <c r="J31" s="10">
        <v>0</v>
      </c>
      <c r="K31" t="s">
        <v>78</v>
      </c>
    </row>
    <row r="32" spans="1:11" ht="30" x14ac:dyDescent="0.25">
      <c r="A32" s="11" t="s">
        <v>392</v>
      </c>
      <c r="B32" s="6">
        <v>927286.48</v>
      </c>
      <c r="C32" s="6">
        <v>927286.48</v>
      </c>
      <c r="D32" s="6">
        <v>0</v>
      </c>
      <c r="E32" s="6">
        <v>925806.49</v>
      </c>
      <c r="F32" s="6">
        <v>925806.49</v>
      </c>
      <c r="G32" s="7">
        <v>0.99840395602446397</v>
      </c>
      <c r="H32" s="10">
        <v>0.99840395602446397</v>
      </c>
      <c r="I32" s="10">
        <v>0.99840395602446397</v>
      </c>
      <c r="J32" s="10">
        <v>1</v>
      </c>
      <c r="K32" t="s">
        <v>71</v>
      </c>
    </row>
    <row r="33" spans="1:11" ht="30" x14ac:dyDescent="0.25">
      <c r="A33" s="11" t="s">
        <v>391</v>
      </c>
      <c r="B33" s="6">
        <v>970000</v>
      </c>
      <c r="C33" s="6">
        <v>970000</v>
      </c>
      <c r="D33" s="6">
        <v>0</v>
      </c>
      <c r="E33" s="6">
        <v>533014.18000000005</v>
      </c>
      <c r="F33" s="6">
        <v>533014.18000000005</v>
      </c>
      <c r="G33" s="7">
        <v>0.54949915463917498</v>
      </c>
      <c r="H33" s="10">
        <v>0.54949915463917498</v>
      </c>
      <c r="I33" s="10">
        <v>0.54949915463917498</v>
      </c>
      <c r="J33" s="10">
        <v>0.8</v>
      </c>
      <c r="K33" t="s">
        <v>66</v>
      </c>
    </row>
    <row r="34" spans="1:11" ht="30" x14ac:dyDescent="0.25">
      <c r="A34" s="11" t="s">
        <v>390</v>
      </c>
      <c r="B34" s="6">
        <v>650000</v>
      </c>
      <c r="C34" s="6">
        <v>650000</v>
      </c>
      <c r="D34" s="6">
        <v>0</v>
      </c>
      <c r="E34" s="6">
        <v>650000</v>
      </c>
      <c r="F34" s="6">
        <v>650000</v>
      </c>
      <c r="G34" s="7">
        <v>1</v>
      </c>
      <c r="H34" s="10">
        <v>1</v>
      </c>
      <c r="I34" s="10">
        <v>1</v>
      </c>
      <c r="J34" s="10">
        <v>1</v>
      </c>
      <c r="K34" t="s">
        <v>109</v>
      </c>
    </row>
    <row r="35" spans="1:11" ht="30" x14ac:dyDescent="0.25">
      <c r="A35" s="11" t="s">
        <v>389</v>
      </c>
      <c r="B35" s="6">
        <v>716000</v>
      </c>
      <c r="C35" s="6">
        <v>716000</v>
      </c>
      <c r="D35" s="6">
        <v>0</v>
      </c>
      <c r="E35" s="6">
        <v>716000</v>
      </c>
      <c r="F35" s="6">
        <v>716000</v>
      </c>
      <c r="G35" s="7">
        <v>1</v>
      </c>
      <c r="H35" s="10">
        <v>1</v>
      </c>
      <c r="I35" s="10">
        <v>1</v>
      </c>
      <c r="J35" s="10">
        <v>1</v>
      </c>
      <c r="K35" t="s">
        <v>66</v>
      </c>
    </row>
    <row r="36" spans="1:11" ht="45" x14ac:dyDescent="0.25">
      <c r="A36" s="11" t="s">
        <v>388</v>
      </c>
      <c r="B36" s="6">
        <v>80000</v>
      </c>
      <c r="C36" s="6">
        <v>80000</v>
      </c>
      <c r="D36" s="6">
        <v>0</v>
      </c>
      <c r="E36" s="6">
        <v>0</v>
      </c>
      <c r="F36" s="6">
        <v>0</v>
      </c>
      <c r="G36" s="7">
        <v>0</v>
      </c>
      <c r="H36" s="10">
        <v>0</v>
      </c>
      <c r="I36" s="10">
        <v>0</v>
      </c>
      <c r="J36" s="10">
        <v>0</v>
      </c>
      <c r="K36" t="s">
        <v>80</v>
      </c>
    </row>
    <row r="37" spans="1:11" ht="30" x14ac:dyDescent="0.25">
      <c r="A37" s="11" t="s">
        <v>387</v>
      </c>
      <c r="B37" s="6">
        <v>380000</v>
      </c>
      <c r="C37" s="6">
        <v>380000</v>
      </c>
      <c r="D37" s="6">
        <v>0</v>
      </c>
      <c r="E37" s="6">
        <v>361358.75</v>
      </c>
      <c r="F37" s="6">
        <v>361358.75</v>
      </c>
      <c r="G37" s="7">
        <v>0.95094407894736799</v>
      </c>
      <c r="H37" s="10">
        <v>0.95094407894736799</v>
      </c>
      <c r="I37" s="10">
        <v>0.95094407894736799</v>
      </c>
      <c r="J37" s="10">
        <v>1</v>
      </c>
      <c r="K37" t="s">
        <v>56</v>
      </c>
    </row>
    <row r="38" spans="1:11" ht="30" x14ac:dyDescent="0.25">
      <c r="A38" s="11" t="s">
        <v>386</v>
      </c>
      <c r="B38" s="6">
        <v>475000</v>
      </c>
      <c r="C38" s="6">
        <v>475000</v>
      </c>
      <c r="D38" s="6">
        <v>0</v>
      </c>
      <c r="E38" s="6">
        <v>0</v>
      </c>
      <c r="F38" s="6">
        <v>0</v>
      </c>
      <c r="G38" s="7">
        <v>0</v>
      </c>
      <c r="H38" s="10">
        <v>0</v>
      </c>
      <c r="I38" s="10">
        <v>0</v>
      </c>
      <c r="J38" s="10">
        <v>0</v>
      </c>
      <c r="K38" t="s">
        <v>109</v>
      </c>
    </row>
    <row r="39" spans="1:11" ht="30" x14ac:dyDescent="0.25">
      <c r="A39" s="11" t="s">
        <v>385</v>
      </c>
      <c r="B39" s="6">
        <v>70000</v>
      </c>
      <c r="C39" s="6">
        <v>70000</v>
      </c>
      <c r="D39" s="6">
        <v>0</v>
      </c>
      <c r="E39" s="6">
        <v>0</v>
      </c>
      <c r="F39" s="6">
        <v>0</v>
      </c>
      <c r="G39" s="7">
        <v>0</v>
      </c>
      <c r="H39" s="10">
        <v>0</v>
      </c>
      <c r="I39" s="10">
        <v>0</v>
      </c>
      <c r="J39" s="10">
        <v>0</v>
      </c>
      <c r="K39" t="s">
        <v>119</v>
      </c>
    </row>
    <row r="40" spans="1:11" ht="30" x14ac:dyDescent="0.25">
      <c r="A40" s="11" t="s">
        <v>384</v>
      </c>
      <c r="B40" s="6">
        <v>50000</v>
      </c>
      <c r="C40" s="6">
        <v>50000</v>
      </c>
      <c r="D40" s="6">
        <v>0</v>
      </c>
      <c r="E40" s="6">
        <v>0</v>
      </c>
      <c r="F40" s="6">
        <v>0</v>
      </c>
      <c r="G40" s="7">
        <v>0</v>
      </c>
      <c r="H40" s="10">
        <v>0</v>
      </c>
      <c r="I40" s="10">
        <v>0</v>
      </c>
      <c r="J40" s="10">
        <v>0</v>
      </c>
      <c r="K40" t="s">
        <v>119</v>
      </c>
    </row>
    <row r="41" spans="1:11" ht="30" x14ac:dyDescent="0.25">
      <c r="A41" s="11" t="s">
        <v>383</v>
      </c>
      <c r="B41" s="6">
        <v>90000</v>
      </c>
      <c r="C41" s="6">
        <v>90000</v>
      </c>
      <c r="D41" s="6">
        <v>0</v>
      </c>
      <c r="E41" s="6">
        <v>0</v>
      </c>
      <c r="F41" s="6">
        <v>0</v>
      </c>
      <c r="G41" s="7">
        <v>0</v>
      </c>
      <c r="H41" s="10">
        <v>0</v>
      </c>
      <c r="I41" s="10">
        <v>0</v>
      </c>
      <c r="J41" s="10">
        <v>0</v>
      </c>
      <c r="K41" t="s">
        <v>119</v>
      </c>
    </row>
    <row r="42" spans="1:11" ht="60" x14ac:dyDescent="0.25">
      <c r="A42" s="11" t="s">
        <v>382</v>
      </c>
      <c r="B42" s="6">
        <v>165000</v>
      </c>
      <c r="C42" s="6">
        <v>165000</v>
      </c>
      <c r="D42" s="6">
        <v>0</v>
      </c>
      <c r="E42" s="6">
        <v>165000</v>
      </c>
      <c r="F42" s="6">
        <v>165000</v>
      </c>
      <c r="G42" s="7">
        <v>1</v>
      </c>
      <c r="H42" s="10">
        <v>1</v>
      </c>
      <c r="I42" s="10">
        <v>1</v>
      </c>
      <c r="J42" s="10">
        <v>1</v>
      </c>
      <c r="K42" t="s">
        <v>119</v>
      </c>
    </row>
    <row r="43" spans="1:11" ht="30" x14ac:dyDescent="0.25">
      <c r="A43" s="11" t="s">
        <v>381</v>
      </c>
      <c r="B43" s="6">
        <v>10000</v>
      </c>
      <c r="C43" s="6">
        <v>10000</v>
      </c>
      <c r="D43" s="6">
        <v>0</v>
      </c>
      <c r="E43" s="6">
        <v>10000</v>
      </c>
      <c r="F43" s="6">
        <v>10000</v>
      </c>
      <c r="G43" s="7">
        <v>1</v>
      </c>
      <c r="H43" s="10">
        <v>1</v>
      </c>
      <c r="I43" s="10">
        <v>1</v>
      </c>
      <c r="J43" s="10">
        <v>1</v>
      </c>
      <c r="K43" t="s">
        <v>119</v>
      </c>
    </row>
    <row r="44" spans="1:11" ht="30" x14ac:dyDescent="0.25">
      <c r="A44" s="11" t="s">
        <v>380</v>
      </c>
      <c r="B44" s="6">
        <v>35000</v>
      </c>
      <c r="C44" s="6">
        <v>35000</v>
      </c>
      <c r="D44" s="6">
        <v>0</v>
      </c>
      <c r="E44" s="6">
        <v>35000</v>
      </c>
      <c r="F44" s="6">
        <v>35000</v>
      </c>
      <c r="G44" s="7">
        <v>1</v>
      </c>
      <c r="H44" s="10">
        <v>1</v>
      </c>
      <c r="I44" s="10">
        <v>1</v>
      </c>
      <c r="J44" s="10">
        <v>1</v>
      </c>
      <c r="K44" t="s">
        <v>119</v>
      </c>
    </row>
    <row r="45" spans="1:11" ht="45" x14ac:dyDescent="0.25">
      <c r="A45" s="11" t="s">
        <v>379</v>
      </c>
      <c r="B45" s="6">
        <v>100000</v>
      </c>
      <c r="C45" s="6">
        <v>100000</v>
      </c>
      <c r="D45" s="6">
        <v>0</v>
      </c>
      <c r="E45" s="6">
        <v>100000</v>
      </c>
      <c r="F45" s="6">
        <v>100000</v>
      </c>
      <c r="G45" s="7">
        <v>1</v>
      </c>
      <c r="H45" s="10">
        <v>1</v>
      </c>
      <c r="I45" s="10">
        <v>1</v>
      </c>
      <c r="J45" s="10">
        <v>1</v>
      </c>
      <c r="K45" t="s">
        <v>119</v>
      </c>
    </row>
    <row r="46" spans="1:11" ht="30" x14ac:dyDescent="0.25">
      <c r="A46" s="11" t="s">
        <v>378</v>
      </c>
      <c r="B46" s="6">
        <v>20000</v>
      </c>
      <c r="C46" s="6">
        <v>20000</v>
      </c>
      <c r="D46" s="6">
        <v>0</v>
      </c>
      <c r="E46" s="6">
        <v>20000</v>
      </c>
      <c r="F46" s="6">
        <v>20000</v>
      </c>
      <c r="G46" s="7">
        <v>1</v>
      </c>
      <c r="H46" s="10">
        <v>1</v>
      </c>
      <c r="I46" s="10">
        <v>1</v>
      </c>
      <c r="J46" s="10">
        <v>1</v>
      </c>
      <c r="K46" t="s">
        <v>119</v>
      </c>
    </row>
    <row r="47" spans="1:11" ht="30" x14ac:dyDescent="0.25">
      <c r="A47" s="11" t="s">
        <v>377</v>
      </c>
      <c r="B47" s="6">
        <v>80000</v>
      </c>
      <c r="C47" s="6">
        <v>80000</v>
      </c>
      <c r="D47" s="6">
        <v>0</v>
      </c>
      <c r="E47" s="6">
        <v>80000</v>
      </c>
      <c r="F47" s="6">
        <v>80000</v>
      </c>
      <c r="G47" s="7">
        <v>1</v>
      </c>
      <c r="H47" s="10">
        <v>1</v>
      </c>
      <c r="I47" s="10">
        <v>1</v>
      </c>
      <c r="J47" s="10">
        <v>1</v>
      </c>
      <c r="K47" t="s">
        <v>119</v>
      </c>
    </row>
    <row r="48" spans="1:11" ht="30" x14ac:dyDescent="0.25">
      <c r="A48" s="11" t="s">
        <v>376</v>
      </c>
      <c r="B48" s="6">
        <v>45000</v>
      </c>
      <c r="C48" s="6">
        <v>45000</v>
      </c>
      <c r="D48" s="6">
        <v>0</v>
      </c>
      <c r="E48" s="6">
        <v>45000</v>
      </c>
      <c r="F48" s="6">
        <v>45000</v>
      </c>
      <c r="G48" s="7">
        <v>1</v>
      </c>
      <c r="H48" s="10">
        <v>1</v>
      </c>
      <c r="I48" s="10">
        <v>1</v>
      </c>
      <c r="J48" s="10">
        <v>1</v>
      </c>
      <c r="K48" t="s">
        <v>119</v>
      </c>
    </row>
    <row r="49" spans="1:11" ht="30" x14ac:dyDescent="0.25">
      <c r="A49" s="11" t="s">
        <v>375</v>
      </c>
      <c r="B49" s="6">
        <v>500000</v>
      </c>
      <c r="C49" s="6">
        <v>500000</v>
      </c>
      <c r="D49" s="6">
        <v>0</v>
      </c>
      <c r="E49" s="6">
        <v>0</v>
      </c>
      <c r="F49" s="6">
        <v>0</v>
      </c>
      <c r="G49" s="7">
        <v>0</v>
      </c>
      <c r="H49" s="10">
        <v>0</v>
      </c>
      <c r="I49" s="10">
        <v>0</v>
      </c>
      <c r="J49" s="10">
        <v>0</v>
      </c>
      <c r="K49" t="s">
        <v>119</v>
      </c>
    </row>
    <row r="50" spans="1:11" ht="45" x14ac:dyDescent="0.25">
      <c r="A50" s="11" t="s">
        <v>374</v>
      </c>
      <c r="B50" s="6">
        <v>2131611</v>
      </c>
      <c r="C50" s="6">
        <v>2131611</v>
      </c>
      <c r="D50" s="6">
        <v>0</v>
      </c>
      <c r="E50" s="6">
        <v>0</v>
      </c>
      <c r="F50" s="6">
        <v>0</v>
      </c>
      <c r="G50" s="7">
        <v>0</v>
      </c>
      <c r="H50" s="10">
        <v>0</v>
      </c>
      <c r="I50" s="10">
        <v>0</v>
      </c>
      <c r="J50" s="10">
        <v>0</v>
      </c>
      <c r="K50" t="s">
        <v>119</v>
      </c>
    </row>
    <row r="51" spans="1:11" ht="45" x14ac:dyDescent="0.25">
      <c r="A51" s="11" t="s">
        <v>373</v>
      </c>
      <c r="B51" s="6">
        <v>475000</v>
      </c>
      <c r="C51" s="6">
        <v>475000</v>
      </c>
      <c r="D51" s="6">
        <v>0</v>
      </c>
      <c r="E51" s="6">
        <v>0</v>
      </c>
      <c r="F51" s="6">
        <v>0</v>
      </c>
      <c r="G51" s="7">
        <v>0</v>
      </c>
      <c r="H51" s="10">
        <v>0</v>
      </c>
      <c r="I51" s="10">
        <v>0</v>
      </c>
      <c r="J51" s="10">
        <v>0.1</v>
      </c>
      <c r="K51" t="s">
        <v>74</v>
      </c>
    </row>
    <row r="52" spans="1:11" ht="30" x14ac:dyDescent="0.25">
      <c r="A52" s="11" t="s">
        <v>372</v>
      </c>
      <c r="B52" s="6">
        <v>625000</v>
      </c>
      <c r="C52" s="6">
        <v>625000</v>
      </c>
      <c r="D52" s="6">
        <v>0</v>
      </c>
      <c r="E52" s="6">
        <v>0</v>
      </c>
      <c r="F52" s="6">
        <v>0</v>
      </c>
      <c r="G52" s="7">
        <v>0</v>
      </c>
      <c r="H52" s="10">
        <v>0</v>
      </c>
      <c r="I52" s="10">
        <v>0</v>
      </c>
      <c r="J52" s="10">
        <v>0</v>
      </c>
      <c r="K52" t="s">
        <v>74</v>
      </c>
    </row>
    <row r="53" spans="1:11" ht="30" x14ac:dyDescent="0.25">
      <c r="A53" s="11" t="s">
        <v>371</v>
      </c>
      <c r="B53" s="6">
        <v>2130000</v>
      </c>
      <c r="C53" s="6">
        <v>2130000</v>
      </c>
      <c r="D53" s="6">
        <v>0</v>
      </c>
      <c r="E53" s="6">
        <v>2130000</v>
      </c>
      <c r="F53" s="6">
        <v>2130000</v>
      </c>
      <c r="G53" s="7">
        <v>1</v>
      </c>
      <c r="H53" s="10">
        <v>1</v>
      </c>
      <c r="I53" s="10">
        <v>1</v>
      </c>
      <c r="J53" s="10">
        <v>1</v>
      </c>
      <c r="K53" t="s">
        <v>74</v>
      </c>
    </row>
    <row r="54" spans="1:11" ht="30" x14ac:dyDescent="0.25">
      <c r="A54" s="11" t="s">
        <v>370</v>
      </c>
      <c r="B54" s="6">
        <v>1250000</v>
      </c>
      <c r="C54" s="6">
        <v>1250000</v>
      </c>
      <c r="D54" s="6">
        <v>0</v>
      </c>
      <c r="E54" s="6">
        <v>0</v>
      </c>
      <c r="F54" s="6">
        <v>0</v>
      </c>
      <c r="G54" s="7">
        <v>0</v>
      </c>
      <c r="H54" s="10">
        <v>0</v>
      </c>
      <c r="I54" s="10">
        <v>0</v>
      </c>
      <c r="J54" s="10">
        <v>0</v>
      </c>
      <c r="K54" t="s">
        <v>74</v>
      </c>
    </row>
    <row r="55" spans="1:11" ht="30" x14ac:dyDescent="0.25">
      <c r="A55" s="11" t="s">
        <v>369</v>
      </c>
      <c r="B55" s="6">
        <v>413371</v>
      </c>
      <c r="C55" s="6">
        <v>413371</v>
      </c>
      <c r="D55" s="6">
        <v>0</v>
      </c>
      <c r="E55" s="6">
        <v>0</v>
      </c>
      <c r="F55" s="6">
        <v>0</v>
      </c>
      <c r="G55" s="7">
        <v>0</v>
      </c>
      <c r="H55" s="10">
        <v>0</v>
      </c>
      <c r="I55" s="10">
        <v>0</v>
      </c>
      <c r="J55" s="10">
        <v>0</v>
      </c>
      <c r="K55" t="s">
        <v>74</v>
      </c>
    </row>
    <row r="56" spans="1:11" ht="30" x14ac:dyDescent="0.25">
      <c r="A56" s="11" t="s">
        <v>368</v>
      </c>
      <c r="B56" s="6">
        <v>710000</v>
      </c>
      <c r="C56" s="6">
        <v>710000</v>
      </c>
      <c r="D56" s="6">
        <v>0</v>
      </c>
      <c r="E56" s="6">
        <v>0</v>
      </c>
      <c r="F56" s="6">
        <v>0</v>
      </c>
      <c r="G56" s="7">
        <v>0</v>
      </c>
      <c r="H56" s="10">
        <v>0</v>
      </c>
      <c r="I56" s="10">
        <v>0</v>
      </c>
      <c r="J56" s="10">
        <v>0</v>
      </c>
      <c r="K56" t="s">
        <v>74</v>
      </c>
    </row>
    <row r="57" spans="1:11" ht="60" x14ac:dyDescent="0.25">
      <c r="A57" s="11" t="s">
        <v>367</v>
      </c>
      <c r="B57" s="6">
        <v>1300000</v>
      </c>
      <c r="C57" s="6">
        <v>1300000</v>
      </c>
      <c r="D57" s="6">
        <v>0</v>
      </c>
      <c r="E57" s="6">
        <v>0</v>
      </c>
      <c r="F57" s="6">
        <v>0</v>
      </c>
      <c r="G57" s="7">
        <v>0</v>
      </c>
      <c r="H57" s="10">
        <v>0</v>
      </c>
      <c r="I57" s="10">
        <v>0</v>
      </c>
      <c r="J57" s="10">
        <v>0</v>
      </c>
      <c r="K57" t="s">
        <v>74</v>
      </c>
    </row>
    <row r="58" spans="1:11" ht="30" x14ac:dyDescent="0.25">
      <c r="A58" s="11" t="s">
        <v>366</v>
      </c>
      <c r="B58" s="6">
        <v>250020.81</v>
      </c>
      <c r="C58" s="6">
        <v>250020.81</v>
      </c>
      <c r="D58" s="6">
        <v>0</v>
      </c>
      <c r="E58" s="6">
        <v>0</v>
      </c>
      <c r="F58" s="6">
        <v>0</v>
      </c>
      <c r="G58" s="7">
        <v>0</v>
      </c>
      <c r="H58" s="10">
        <v>0</v>
      </c>
      <c r="I58" s="10">
        <v>0</v>
      </c>
      <c r="J58" s="10">
        <v>0</v>
      </c>
      <c r="K58" t="s">
        <v>74</v>
      </c>
    </row>
    <row r="59" spans="1:11" ht="30" x14ac:dyDescent="0.25">
      <c r="A59" s="11" t="s">
        <v>365</v>
      </c>
      <c r="B59" s="6">
        <v>250000</v>
      </c>
      <c r="C59" s="6">
        <v>250000</v>
      </c>
      <c r="D59" s="6">
        <v>0</v>
      </c>
      <c r="E59" s="6">
        <v>0</v>
      </c>
      <c r="F59" s="6">
        <v>0</v>
      </c>
      <c r="G59" s="7">
        <v>0</v>
      </c>
      <c r="H59" s="10">
        <v>0</v>
      </c>
      <c r="I59" s="10">
        <v>0</v>
      </c>
      <c r="J59" s="10">
        <v>0</v>
      </c>
      <c r="K59" t="s">
        <v>78</v>
      </c>
    </row>
    <row r="60" spans="1:11" ht="30" x14ac:dyDescent="0.25">
      <c r="A60" s="11" t="s">
        <v>364</v>
      </c>
      <c r="B60" s="6">
        <v>190000</v>
      </c>
      <c r="C60" s="6">
        <v>190000</v>
      </c>
      <c r="D60" s="6">
        <v>0</v>
      </c>
      <c r="E60" s="6">
        <v>0</v>
      </c>
      <c r="F60" s="6">
        <v>0</v>
      </c>
      <c r="G60" s="7">
        <v>0</v>
      </c>
      <c r="H60" s="10">
        <v>0</v>
      </c>
      <c r="I60" s="10">
        <v>0</v>
      </c>
      <c r="J60" s="10">
        <v>0</v>
      </c>
      <c r="K60" t="s">
        <v>78</v>
      </c>
    </row>
    <row r="61" spans="1:11" ht="45" x14ac:dyDescent="0.25">
      <c r="A61" s="11" t="s">
        <v>363</v>
      </c>
      <c r="B61" s="6">
        <v>368262</v>
      </c>
      <c r="C61" s="6">
        <v>368262</v>
      </c>
      <c r="D61" s="6">
        <v>0</v>
      </c>
      <c r="E61" s="6">
        <v>0</v>
      </c>
      <c r="F61" s="6">
        <v>0</v>
      </c>
      <c r="G61" s="7">
        <v>0</v>
      </c>
      <c r="H61" s="10">
        <v>0</v>
      </c>
      <c r="I61" s="10">
        <v>0</v>
      </c>
      <c r="J61" s="10">
        <v>0</v>
      </c>
      <c r="K61" t="s">
        <v>78</v>
      </c>
    </row>
    <row r="62" spans="1:11" ht="30" x14ac:dyDescent="0.25">
      <c r="A62" s="11" t="s">
        <v>362</v>
      </c>
      <c r="B62" s="6">
        <v>210000</v>
      </c>
      <c r="C62" s="6">
        <v>210000</v>
      </c>
      <c r="D62" s="6">
        <v>0</v>
      </c>
      <c r="E62" s="6">
        <v>0</v>
      </c>
      <c r="F62" s="6">
        <v>0</v>
      </c>
      <c r="G62" s="7">
        <v>0</v>
      </c>
      <c r="H62" s="10">
        <v>0</v>
      </c>
      <c r="I62" s="10">
        <v>0</v>
      </c>
      <c r="J62" s="10">
        <v>0</v>
      </c>
      <c r="K62" t="s">
        <v>78</v>
      </c>
    </row>
    <row r="63" spans="1:11" ht="45" x14ac:dyDescent="0.25">
      <c r="A63" s="11" t="s">
        <v>361</v>
      </c>
      <c r="B63" s="6">
        <v>918040</v>
      </c>
      <c r="C63" s="6">
        <v>918040</v>
      </c>
      <c r="D63" s="6">
        <v>0</v>
      </c>
      <c r="E63" s="6">
        <v>0</v>
      </c>
      <c r="F63" s="6">
        <v>0</v>
      </c>
      <c r="G63" s="7">
        <v>0</v>
      </c>
      <c r="H63" s="10">
        <v>0</v>
      </c>
      <c r="I63" s="10">
        <v>0</v>
      </c>
      <c r="J63" s="10">
        <v>0</v>
      </c>
      <c r="K63" t="s">
        <v>78</v>
      </c>
    </row>
    <row r="64" spans="1:11" ht="30" x14ac:dyDescent="0.25">
      <c r="A64" s="11" t="s">
        <v>360</v>
      </c>
      <c r="B64" s="6">
        <v>100000</v>
      </c>
      <c r="C64" s="6">
        <v>100000</v>
      </c>
      <c r="D64" s="6">
        <v>0</v>
      </c>
      <c r="E64" s="6">
        <v>100000</v>
      </c>
      <c r="F64" s="6">
        <v>100000</v>
      </c>
      <c r="G64" s="7">
        <v>1</v>
      </c>
      <c r="H64" s="10">
        <v>1</v>
      </c>
      <c r="I64" s="10">
        <v>1</v>
      </c>
      <c r="J64" s="10">
        <v>1</v>
      </c>
      <c r="K64" t="s">
        <v>78</v>
      </c>
    </row>
    <row r="65" spans="1:11" ht="30" x14ac:dyDescent="0.25">
      <c r="A65" s="11" t="s">
        <v>359</v>
      </c>
      <c r="B65" s="6">
        <v>518468</v>
      </c>
      <c r="C65" s="6">
        <v>518468</v>
      </c>
      <c r="D65" s="6">
        <v>0</v>
      </c>
      <c r="E65" s="6">
        <v>0</v>
      </c>
      <c r="F65" s="6">
        <v>0</v>
      </c>
      <c r="G65" s="7">
        <v>0</v>
      </c>
      <c r="H65" s="10">
        <v>0</v>
      </c>
      <c r="I65" s="10">
        <v>0</v>
      </c>
      <c r="J65" s="10">
        <v>0</v>
      </c>
      <c r="K65" t="s">
        <v>78</v>
      </c>
    </row>
    <row r="66" spans="1:11" ht="30" x14ac:dyDescent="0.25">
      <c r="A66" s="11" t="s">
        <v>358</v>
      </c>
      <c r="B66" s="6">
        <v>120000</v>
      </c>
      <c r="C66" s="6">
        <v>120000</v>
      </c>
      <c r="D66" s="6">
        <v>0</v>
      </c>
      <c r="E66" s="6">
        <v>0</v>
      </c>
      <c r="F66" s="6">
        <v>0</v>
      </c>
      <c r="G66" s="7">
        <v>0</v>
      </c>
      <c r="H66" s="10">
        <v>0</v>
      </c>
      <c r="I66" s="10">
        <v>0</v>
      </c>
      <c r="J66" s="10">
        <v>0</v>
      </c>
      <c r="K66" t="s">
        <v>78</v>
      </c>
    </row>
    <row r="67" spans="1:11" ht="30" x14ac:dyDescent="0.25">
      <c r="A67" s="11" t="s">
        <v>357</v>
      </c>
      <c r="B67" s="6">
        <v>200000</v>
      </c>
      <c r="C67" s="6">
        <v>200000</v>
      </c>
      <c r="D67" s="6">
        <v>0</v>
      </c>
      <c r="E67" s="6">
        <v>0</v>
      </c>
      <c r="F67" s="6">
        <v>0</v>
      </c>
      <c r="G67" s="7">
        <v>0</v>
      </c>
      <c r="H67" s="10">
        <v>0</v>
      </c>
      <c r="I67" s="10">
        <v>0</v>
      </c>
      <c r="J67" s="10">
        <v>0</v>
      </c>
      <c r="K67" t="s">
        <v>78</v>
      </c>
    </row>
    <row r="68" spans="1:11" ht="30" x14ac:dyDescent="0.25">
      <c r="A68" s="11" t="s">
        <v>356</v>
      </c>
      <c r="B68" s="6">
        <v>482112</v>
      </c>
      <c r="C68" s="6">
        <v>482112</v>
      </c>
      <c r="D68" s="6">
        <v>0</v>
      </c>
      <c r="E68" s="6">
        <v>0</v>
      </c>
      <c r="F68" s="6">
        <v>0</v>
      </c>
      <c r="G68" s="7">
        <v>0</v>
      </c>
      <c r="H68" s="10">
        <v>0</v>
      </c>
      <c r="I68" s="10">
        <v>0</v>
      </c>
      <c r="J68" s="10">
        <v>0</v>
      </c>
      <c r="K68" t="s">
        <v>78</v>
      </c>
    </row>
    <row r="69" spans="1:11" ht="30" x14ac:dyDescent="0.25">
      <c r="A69" s="11" t="s">
        <v>355</v>
      </c>
      <c r="B69" s="6">
        <v>200000</v>
      </c>
      <c r="C69" s="6">
        <v>200000</v>
      </c>
      <c r="D69" s="6">
        <v>0</v>
      </c>
      <c r="E69" s="6">
        <v>200000</v>
      </c>
      <c r="F69" s="6">
        <v>200000</v>
      </c>
      <c r="G69" s="7">
        <v>1</v>
      </c>
      <c r="H69" s="10">
        <v>1</v>
      </c>
      <c r="I69" s="10">
        <v>1</v>
      </c>
      <c r="J69" s="10">
        <v>1</v>
      </c>
      <c r="K69" t="s">
        <v>78</v>
      </c>
    </row>
    <row r="70" spans="1:11" ht="30" x14ac:dyDescent="0.25">
      <c r="A70" s="11" t="s">
        <v>354</v>
      </c>
      <c r="B70" s="6">
        <v>801220</v>
      </c>
      <c r="C70" s="6">
        <v>801220</v>
      </c>
      <c r="D70" s="6">
        <v>0</v>
      </c>
      <c r="E70" s="6">
        <v>0</v>
      </c>
      <c r="F70" s="6">
        <v>0</v>
      </c>
      <c r="G70" s="7">
        <v>0</v>
      </c>
      <c r="H70" s="10">
        <v>0</v>
      </c>
      <c r="I70" s="10">
        <v>0</v>
      </c>
      <c r="J70" s="10">
        <v>0</v>
      </c>
      <c r="K70" t="s">
        <v>78</v>
      </c>
    </row>
    <row r="71" spans="1:11" ht="30" x14ac:dyDescent="0.25">
      <c r="A71" s="11" t="s">
        <v>353</v>
      </c>
      <c r="B71" s="6">
        <v>711201</v>
      </c>
      <c r="C71" s="6">
        <v>711201</v>
      </c>
      <c r="D71" s="6">
        <v>0</v>
      </c>
      <c r="E71" s="6">
        <v>711201</v>
      </c>
      <c r="F71" s="6">
        <v>711201</v>
      </c>
      <c r="G71" s="7">
        <v>1</v>
      </c>
      <c r="H71" s="10">
        <v>1</v>
      </c>
      <c r="I71" s="10">
        <v>1</v>
      </c>
      <c r="J71" s="10">
        <v>1</v>
      </c>
      <c r="K71" t="s">
        <v>78</v>
      </c>
    </row>
    <row r="72" spans="1:11" ht="30" x14ac:dyDescent="0.25">
      <c r="A72" s="11" t="s">
        <v>352</v>
      </c>
      <c r="B72" s="6">
        <v>400000</v>
      </c>
      <c r="C72" s="6">
        <v>400000</v>
      </c>
      <c r="D72" s="6">
        <v>0</v>
      </c>
      <c r="E72" s="6">
        <v>0</v>
      </c>
      <c r="F72" s="6">
        <v>0</v>
      </c>
      <c r="G72" s="7">
        <v>0</v>
      </c>
      <c r="H72" s="10">
        <v>0</v>
      </c>
      <c r="I72" s="10">
        <v>0</v>
      </c>
      <c r="J72" s="10">
        <v>0</v>
      </c>
      <c r="K72" t="s">
        <v>78</v>
      </c>
    </row>
    <row r="73" spans="1:11" ht="30" x14ac:dyDescent="0.25">
      <c r="A73" s="11" t="s">
        <v>351</v>
      </c>
      <c r="B73" s="6">
        <v>100000</v>
      </c>
      <c r="C73" s="6">
        <v>100000</v>
      </c>
      <c r="D73" s="6">
        <v>0</v>
      </c>
      <c r="E73" s="6">
        <v>0</v>
      </c>
      <c r="F73" s="6">
        <v>0</v>
      </c>
      <c r="G73" s="7">
        <v>0</v>
      </c>
      <c r="H73" s="10">
        <v>0</v>
      </c>
      <c r="I73" s="10">
        <v>0</v>
      </c>
      <c r="J73" s="10">
        <v>0</v>
      </c>
      <c r="K73" t="s">
        <v>78</v>
      </c>
    </row>
    <row r="74" spans="1:11" ht="30" x14ac:dyDescent="0.25">
      <c r="A74" s="11" t="s">
        <v>350</v>
      </c>
      <c r="B74" s="6">
        <v>100000</v>
      </c>
      <c r="C74" s="6">
        <v>100000</v>
      </c>
      <c r="D74" s="6">
        <v>0</v>
      </c>
      <c r="E74" s="6">
        <v>0</v>
      </c>
      <c r="F74" s="6">
        <v>0</v>
      </c>
      <c r="G74" s="7">
        <v>0</v>
      </c>
      <c r="H74" s="10">
        <v>0</v>
      </c>
      <c r="I74" s="10">
        <v>0</v>
      </c>
      <c r="J74" s="10">
        <v>0</v>
      </c>
      <c r="K74" t="s">
        <v>78</v>
      </c>
    </row>
    <row r="75" spans="1:11" ht="30" x14ac:dyDescent="0.25">
      <c r="A75" s="11" t="s">
        <v>349</v>
      </c>
      <c r="B75" s="6">
        <v>250000</v>
      </c>
      <c r="C75" s="6">
        <v>250000</v>
      </c>
      <c r="D75" s="6">
        <v>0</v>
      </c>
      <c r="E75" s="6">
        <v>250000</v>
      </c>
      <c r="F75" s="6">
        <v>250000</v>
      </c>
      <c r="G75" s="7">
        <v>1</v>
      </c>
      <c r="H75" s="10">
        <v>1</v>
      </c>
      <c r="I75" s="10">
        <v>1</v>
      </c>
      <c r="J75" s="10">
        <v>1</v>
      </c>
      <c r="K75" t="s">
        <v>78</v>
      </c>
    </row>
    <row r="76" spans="1:11" ht="30" x14ac:dyDescent="0.25">
      <c r="A76" s="11" t="s">
        <v>348</v>
      </c>
      <c r="B76" s="6">
        <v>253098</v>
      </c>
      <c r="C76" s="6">
        <v>253098</v>
      </c>
      <c r="D76" s="6">
        <v>0</v>
      </c>
      <c r="E76" s="6">
        <v>0</v>
      </c>
      <c r="F76" s="6">
        <v>0</v>
      </c>
      <c r="G76" s="7">
        <v>0</v>
      </c>
      <c r="H76" s="10">
        <v>0</v>
      </c>
      <c r="I76" s="10">
        <v>0</v>
      </c>
      <c r="J76" s="10">
        <v>0</v>
      </c>
      <c r="K76" t="s">
        <v>78</v>
      </c>
    </row>
    <row r="77" spans="1:11" ht="30" x14ac:dyDescent="0.25">
      <c r="A77" s="11" t="s">
        <v>347</v>
      </c>
      <c r="B77" s="6">
        <v>848968</v>
      </c>
      <c r="C77" s="6">
        <v>848968</v>
      </c>
      <c r="D77" s="6">
        <v>0</v>
      </c>
      <c r="E77" s="6">
        <v>0</v>
      </c>
      <c r="F77" s="6">
        <v>0</v>
      </c>
      <c r="G77" s="7">
        <v>0</v>
      </c>
      <c r="H77" s="10">
        <v>0</v>
      </c>
      <c r="I77" s="10">
        <v>0</v>
      </c>
      <c r="J77" s="10">
        <v>0</v>
      </c>
      <c r="K77" t="s">
        <v>78</v>
      </c>
    </row>
    <row r="78" spans="1:11" ht="30" x14ac:dyDescent="0.25">
      <c r="A78" s="11" t="s">
        <v>346</v>
      </c>
      <c r="B78" s="6">
        <v>140000</v>
      </c>
      <c r="C78" s="6">
        <v>140000</v>
      </c>
      <c r="D78" s="6">
        <v>0</v>
      </c>
      <c r="E78" s="6">
        <v>0</v>
      </c>
      <c r="F78" s="6">
        <v>0</v>
      </c>
      <c r="G78" s="7">
        <v>0</v>
      </c>
      <c r="H78" s="10">
        <v>0</v>
      </c>
      <c r="I78" s="10">
        <v>0</v>
      </c>
      <c r="J78" s="10">
        <v>0</v>
      </c>
      <c r="K78" t="s">
        <v>78</v>
      </c>
    </row>
    <row r="79" spans="1:11" ht="30" x14ac:dyDescent="0.25">
      <c r="A79" s="11" t="s">
        <v>345</v>
      </c>
      <c r="B79" s="6">
        <v>750000</v>
      </c>
      <c r="C79" s="6">
        <v>750000</v>
      </c>
      <c r="D79" s="6">
        <v>0</v>
      </c>
      <c r="E79" s="6">
        <v>0</v>
      </c>
      <c r="F79" s="6">
        <v>0</v>
      </c>
      <c r="G79" s="7">
        <v>0</v>
      </c>
      <c r="H79" s="10">
        <v>0</v>
      </c>
      <c r="I79" s="10">
        <v>0</v>
      </c>
      <c r="J79" s="10">
        <v>0</v>
      </c>
      <c r="K79" t="s">
        <v>78</v>
      </c>
    </row>
    <row r="80" spans="1:11" ht="30" x14ac:dyDescent="0.25">
      <c r="A80" s="11" t="s">
        <v>344</v>
      </c>
      <c r="B80" s="6">
        <v>257240</v>
      </c>
      <c r="C80" s="6">
        <v>257240</v>
      </c>
      <c r="D80" s="6">
        <v>0</v>
      </c>
      <c r="E80" s="6">
        <v>0</v>
      </c>
      <c r="F80" s="6">
        <v>0</v>
      </c>
      <c r="G80" s="7">
        <v>0</v>
      </c>
      <c r="H80" s="10">
        <v>0</v>
      </c>
      <c r="I80" s="10">
        <v>0</v>
      </c>
      <c r="J80" s="10">
        <v>0</v>
      </c>
      <c r="K80" t="s">
        <v>80</v>
      </c>
    </row>
    <row r="81" spans="1:11" ht="30" x14ac:dyDescent="0.25">
      <c r="A81" s="11" t="s">
        <v>343</v>
      </c>
      <c r="B81" s="6">
        <v>135700</v>
      </c>
      <c r="C81" s="6">
        <v>135700</v>
      </c>
      <c r="D81" s="6">
        <v>0</v>
      </c>
      <c r="E81" s="6">
        <v>0</v>
      </c>
      <c r="F81" s="6">
        <v>0</v>
      </c>
      <c r="G81" s="7">
        <v>0</v>
      </c>
      <c r="H81" s="10">
        <v>0</v>
      </c>
      <c r="I81" s="10">
        <v>0</v>
      </c>
      <c r="J81" s="10">
        <v>1</v>
      </c>
      <c r="K81" t="s">
        <v>80</v>
      </c>
    </row>
    <row r="82" spans="1:11" ht="30" x14ac:dyDescent="0.25">
      <c r="A82" s="11" t="s">
        <v>342</v>
      </c>
      <c r="B82" s="6">
        <v>459610</v>
      </c>
      <c r="C82" s="6">
        <v>459610</v>
      </c>
      <c r="D82" s="6">
        <v>0</v>
      </c>
      <c r="E82" s="6">
        <v>0</v>
      </c>
      <c r="F82" s="6">
        <v>0</v>
      </c>
      <c r="G82" s="7">
        <v>0</v>
      </c>
      <c r="H82" s="10">
        <v>0</v>
      </c>
      <c r="I82" s="10">
        <v>0</v>
      </c>
      <c r="J82" s="10">
        <v>0</v>
      </c>
      <c r="K82" t="s">
        <v>80</v>
      </c>
    </row>
    <row r="83" spans="1:11" ht="30" x14ac:dyDescent="0.25">
      <c r="A83" s="11" t="s">
        <v>341</v>
      </c>
      <c r="B83" s="6">
        <v>10000</v>
      </c>
      <c r="C83" s="6">
        <v>10000</v>
      </c>
      <c r="D83" s="6">
        <v>0</v>
      </c>
      <c r="E83" s="6">
        <v>0</v>
      </c>
      <c r="F83" s="6">
        <v>0</v>
      </c>
      <c r="G83" s="7">
        <v>0</v>
      </c>
      <c r="H83" s="10">
        <v>0</v>
      </c>
      <c r="I83" s="10">
        <v>0</v>
      </c>
      <c r="J83" s="10">
        <v>0</v>
      </c>
      <c r="K83" t="s">
        <v>80</v>
      </c>
    </row>
    <row r="84" spans="1:11" ht="30" x14ac:dyDescent="0.25">
      <c r="A84" s="11" t="s">
        <v>340</v>
      </c>
      <c r="B84" s="6">
        <v>20000</v>
      </c>
      <c r="C84" s="6">
        <v>20000</v>
      </c>
      <c r="D84" s="6">
        <v>0</v>
      </c>
      <c r="E84" s="6">
        <v>0</v>
      </c>
      <c r="F84" s="6">
        <v>0</v>
      </c>
      <c r="G84" s="7">
        <v>0</v>
      </c>
      <c r="H84" s="10">
        <v>0</v>
      </c>
      <c r="I84" s="10">
        <v>0</v>
      </c>
      <c r="J84" s="10">
        <v>0</v>
      </c>
      <c r="K84" t="s">
        <v>80</v>
      </c>
    </row>
    <row r="85" spans="1:11" ht="30" x14ac:dyDescent="0.25">
      <c r="A85" s="11" t="s">
        <v>339</v>
      </c>
      <c r="B85" s="6">
        <v>228496.5</v>
      </c>
      <c r="C85" s="6">
        <v>228496.5</v>
      </c>
      <c r="D85" s="6">
        <v>0</v>
      </c>
      <c r="E85" s="6">
        <v>207869.98</v>
      </c>
      <c r="F85" s="6">
        <v>207869.98</v>
      </c>
      <c r="G85" s="7">
        <v>0.909729383163418</v>
      </c>
      <c r="H85" s="10">
        <v>0.909729383163418</v>
      </c>
      <c r="I85" s="10">
        <v>0.909729383163418</v>
      </c>
      <c r="J85" s="10">
        <v>1</v>
      </c>
      <c r="K85" t="s">
        <v>80</v>
      </c>
    </row>
    <row r="86" spans="1:11" ht="45" x14ac:dyDescent="0.25">
      <c r="A86" s="11" t="s">
        <v>338</v>
      </c>
      <c r="B86" s="6">
        <v>50000</v>
      </c>
      <c r="C86" s="6">
        <v>50000</v>
      </c>
      <c r="D86" s="6">
        <v>0</v>
      </c>
      <c r="E86" s="6">
        <v>0</v>
      </c>
      <c r="F86" s="6">
        <v>0</v>
      </c>
      <c r="G86" s="7">
        <v>0</v>
      </c>
      <c r="H86" s="10">
        <v>0</v>
      </c>
      <c r="I86" s="10">
        <v>0</v>
      </c>
      <c r="J86" s="10">
        <v>0</v>
      </c>
      <c r="K86" t="s">
        <v>80</v>
      </c>
    </row>
    <row r="87" spans="1:11" ht="30" x14ac:dyDescent="0.25">
      <c r="A87" s="11" t="s">
        <v>337</v>
      </c>
      <c r="B87" s="6">
        <v>589292</v>
      </c>
      <c r="C87" s="6">
        <v>589292</v>
      </c>
      <c r="D87" s="6">
        <v>0</v>
      </c>
      <c r="E87" s="6">
        <v>589292</v>
      </c>
      <c r="F87" s="6">
        <v>589292</v>
      </c>
      <c r="G87" s="7">
        <v>1</v>
      </c>
      <c r="H87" s="10">
        <v>1</v>
      </c>
      <c r="I87" s="10">
        <v>1</v>
      </c>
      <c r="J87" s="10">
        <v>1</v>
      </c>
      <c r="K87" t="s">
        <v>80</v>
      </c>
    </row>
    <row r="88" spans="1:11" ht="75" x14ac:dyDescent="0.25">
      <c r="A88" s="11" t="s">
        <v>336</v>
      </c>
      <c r="B88" s="6">
        <v>675000</v>
      </c>
      <c r="C88" s="6">
        <v>675000</v>
      </c>
      <c r="D88" s="6">
        <v>0</v>
      </c>
      <c r="E88" s="6">
        <v>0</v>
      </c>
      <c r="F88" s="6">
        <v>0</v>
      </c>
      <c r="G88" s="7">
        <v>0</v>
      </c>
      <c r="H88" s="10">
        <v>0</v>
      </c>
      <c r="I88" s="10">
        <v>0</v>
      </c>
      <c r="J88" s="10">
        <v>0</v>
      </c>
      <c r="K88" t="s">
        <v>80</v>
      </c>
    </row>
    <row r="89" spans="1:11" ht="30" x14ac:dyDescent="0.25">
      <c r="A89" s="11" t="s">
        <v>335</v>
      </c>
      <c r="B89" s="6">
        <v>233640</v>
      </c>
      <c r="C89" s="6">
        <v>233640</v>
      </c>
      <c r="D89" s="6">
        <v>0</v>
      </c>
      <c r="E89" s="6">
        <v>0</v>
      </c>
      <c r="F89" s="6">
        <v>0</v>
      </c>
      <c r="G89" s="7">
        <v>0</v>
      </c>
      <c r="H89" s="10">
        <v>0</v>
      </c>
      <c r="I89" s="10">
        <v>0</v>
      </c>
      <c r="J89" s="10">
        <v>0</v>
      </c>
      <c r="K89" t="s">
        <v>80</v>
      </c>
    </row>
    <row r="90" spans="1:11" ht="30" x14ac:dyDescent="0.25">
      <c r="A90" s="11" t="s">
        <v>334</v>
      </c>
      <c r="B90" s="6">
        <v>50000</v>
      </c>
      <c r="C90" s="6">
        <v>50000</v>
      </c>
      <c r="D90" s="6">
        <v>0</v>
      </c>
      <c r="E90" s="6">
        <v>0</v>
      </c>
      <c r="F90" s="6">
        <v>0</v>
      </c>
      <c r="G90" s="7">
        <v>0</v>
      </c>
      <c r="H90" s="10">
        <v>0</v>
      </c>
      <c r="I90" s="10">
        <v>0</v>
      </c>
      <c r="J90" s="10">
        <v>0</v>
      </c>
      <c r="K90" t="s">
        <v>80</v>
      </c>
    </row>
    <row r="91" spans="1:11" ht="30" x14ac:dyDescent="0.25">
      <c r="A91" s="11" t="s">
        <v>333</v>
      </c>
      <c r="B91" s="6">
        <v>55000</v>
      </c>
      <c r="C91" s="6">
        <v>55000</v>
      </c>
      <c r="D91" s="6">
        <v>0</v>
      </c>
      <c r="E91" s="6">
        <v>0</v>
      </c>
      <c r="F91" s="6">
        <v>0</v>
      </c>
      <c r="G91" s="7">
        <v>0</v>
      </c>
      <c r="H91" s="10">
        <v>0</v>
      </c>
      <c r="I91" s="10">
        <v>0</v>
      </c>
      <c r="J91" s="10">
        <v>0</v>
      </c>
      <c r="K91" t="s">
        <v>80</v>
      </c>
    </row>
    <row r="92" spans="1:11" ht="30" x14ac:dyDescent="0.25">
      <c r="A92" s="11" t="s">
        <v>332</v>
      </c>
      <c r="B92" s="6">
        <v>465129.34</v>
      </c>
      <c r="C92" s="6">
        <v>465129.34</v>
      </c>
      <c r="D92" s="6">
        <v>0</v>
      </c>
      <c r="E92" s="6">
        <v>450000</v>
      </c>
      <c r="F92" s="6">
        <v>450000</v>
      </c>
      <c r="G92" s="7">
        <v>0.96747283239539394</v>
      </c>
      <c r="H92" s="10">
        <v>0.96747283239539394</v>
      </c>
      <c r="I92" s="10">
        <v>0.96747283239539394</v>
      </c>
      <c r="J92" s="10">
        <v>0.95</v>
      </c>
      <c r="K92" t="s">
        <v>80</v>
      </c>
    </row>
    <row r="93" spans="1:11" ht="60" x14ac:dyDescent="0.25">
      <c r="A93" s="11" t="s">
        <v>331</v>
      </c>
      <c r="B93" s="6">
        <v>210000</v>
      </c>
      <c r="C93" s="6">
        <v>210000</v>
      </c>
      <c r="D93" s="6">
        <v>0</v>
      </c>
      <c r="E93" s="6">
        <v>210000</v>
      </c>
      <c r="F93" s="6">
        <v>210000</v>
      </c>
      <c r="G93" s="7">
        <v>1</v>
      </c>
      <c r="H93" s="10">
        <v>1</v>
      </c>
      <c r="I93" s="10">
        <v>1</v>
      </c>
      <c r="J93" s="10">
        <v>1</v>
      </c>
      <c r="K93" t="s">
        <v>80</v>
      </c>
    </row>
    <row r="94" spans="1:11" ht="30" x14ac:dyDescent="0.25">
      <c r="A94" s="11" t="s">
        <v>330</v>
      </c>
      <c r="B94" s="6">
        <v>60000</v>
      </c>
      <c r="C94" s="6">
        <v>60000</v>
      </c>
      <c r="D94" s="6">
        <v>0</v>
      </c>
      <c r="E94" s="6">
        <v>0</v>
      </c>
      <c r="F94" s="6">
        <v>0</v>
      </c>
      <c r="G94" s="7">
        <v>0</v>
      </c>
      <c r="H94" s="10">
        <v>0</v>
      </c>
      <c r="I94" s="10">
        <v>0</v>
      </c>
      <c r="J94" s="10">
        <v>0</v>
      </c>
      <c r="K94" t="s">
        <v>80</v>
      </c>
    </row>
    <row r="95" spans="1:11" ht="30" x14ac:dyDescent="0.25">
      <c r="A95" s="11" t="s">
        <v>329</v>
      </c>
      <c r="B95" s="6">
        <v>707756.2</v>
      </c>
      <c r="C95" s="6">
        <v>707756.2</v>
      </c>
      <c r="D95" s="6">
        <v>0</v>
      </c>
      <c r="E95" s="6">
        <v>707756.2</v>
      </c>
      <c r="F95" s="6">
        <v>707756.2</v>
      </c>
      <c r="G95" s="7">
        <v>1</v>
      </c>
      <c r="H95" s="10">
        <v>1</v>
      </c>
      <c r="I95" s="10">
        <v>1</v>
      </c>
      <c r="J95" s="10">
        <v>1</v>
      </c>
      <c r="K95" t="s">
        <v>80</v>
      </c>
    </row>
    <row r="96" spans="1:11" ht="30" x14ac:dyDescent="0.25">
      <c r="A96" s="11" t="s">
        <v>328</v>
      </c>
      <c r="B96" s="6">
        <v>45000</v>
      </c>
      <c r="C96" s="6">
        <v>45000</v>
      </c>
      <c r="D96" s="6">
        <v>0</v>
      </c>
      <c r="E96" s="6">
        <v>45000</v>
      </c>
      <c r="F96" s="6">
        <v>45000</v>
      </c>
      <c r="G96" s="7">
        <v>1</v>
      </c>
      <c r="H96" s="10">
        <v>1</v>
      </c>
      <c r="I96" s="10">
        <v>1</v>
      </c>
      <c r="J96" s="10">
        <v>1</v>
      </c>
      <c r="K96" t="s">
        <v>80</v>
      </c>
    </row>
    <row r="97" spans="1:11" ht="30" x14ac:dyDescent="0.25">
      <c r="A97" s="11" t="s">
        <v>327</v>
      </c>
      <c r="B97" s="6">
        <v>1122126.06</v>
      </c>
      <c r="C97" s="6">
        <v>1122126.06</v>
      </c>
      <c r="D97" s="6">
        <v>0</v>
      </c>
      <c r="E97" s="6">
        <v>1122126.06</v>
      </c>
      <c r="F97" s="6">
        <v>1122126.06</v>
      </c>
      <c r="G97" s="7">
        <v>1</v>
      </c>
      <c r="H97" s="10">
        <v>1</v>
      </c>
      <c r="I97" s="10">
        <v>1</v>
      </c>
      <c r="J97" s="10">
        <v>1</v>
      </c>
      <c r="K97" t="s">
        <v>80</v>
      </c>
    </row>
    <row r="98" spans="1:11" ht="30" x14ac:dyDescent="0.25">
      <c r="A98" s="11" t="s">
        <v>326</v>
      </c>
      <c r="B98" s="6">
        <v>450131</v>
      </c>
      <c r="C98" s="6">
        <v>450131</v>
      </c>
      <c r="D98" s="6">
        <v>0</v>
      </c>
      <c r="E98" s="6">
        <v>297360</v>
      </c>
      <c r="F98" s="6">
        <v>297360</v>
      </c>
      <c r="G98" s="7">
        <v>0.66060768976142503</v>
      </c>
      <c r="H98" s="10">
        <v>0.66060768976142503</v>
      </c>
      <c r="I98" s="10">
        <v>0.66060768976142503</v>
      </c>
      <c r="J98" s="10">
        <v>0.6</v>
      </c>
      <c r="K98" t="s">
        <v>56</v>
      </c>
    </row>
    <row r="99" spans="1:11" ht="60" x14ac:dyDescent="0.25">
      <c r="A99" s="11" t="s">
        <v>325</v>
      </c>
      <c r="B99" s="6">
        <v>2124000</v>
      </c>
      <c r="C99" s="6">
        <v>2124000</v>
      </c>
      <c r="D99" s="6">
        <v>0</v>
      </c>
      <c r="E99" s="6">
        <v>0</v>
      </c>
      <c r="F99" s="6">
        <v>0</v>
      </c>
      <c r="G99" s="7">
        <v>0</v>
      </c>
      <c r="H99" s="10">
        <v>0</v>
      </c>
      <c r="I99" s="10">
        <v>0</v>
      </c>
      <c r="J99" s="10">
        <v>0</v>
      </c>
      <c r="K99" t="s">
        <v>56</v>
      </c>
    </row>
    <row r="100" spans="1:11" ht="30" x14ac:dyDescent="0.25">
      <c r="A100" s="11" t="s">
        <v>324</v>
      </c>
      <c r="B100" s="6">
        <v>900000</v>
      </c>
      <c r="C100" s="6">
        <v>900000</v>
      </c>
      <c r="D100" s="6">
        <v>0</v>
      </c>
      <c r="E100" s="6">
        <v>900000</v>
      </c>
      <c r="F100" s="6">
        <v>900000</v>
      </c>
      <c r="G100" s="7">
        <v>1</v>
      </c>
      <c r="H100" s="10">
        <v>1</v>
      </c>
      <c r="I100" s="10">
        <v>1</v>
      </c>
      <c r="J100" s="10">
        <v>1</v>
      </c>
      <c r="K100" t="s">
        <v>56</v>
      </c>
    </row>
    <row r="101" spans="1:11" ht="45" x14ac:dyDescent="0.25">
      <c r="A101" s="11" t="s">
        <v>323</v>
      </c>
      <c r="B101" s="6">
        <v>530000</v>
      </c>
      <c r="C101" s="6">
        <v>530000</v>
      </c>
      <c r="D101" s="6">
        <v>0</v>
      </c>
      <c r="E101" s="6">
        <v>528617.68999999994</v>
      </c>
      <c r="F101" s="6">
        <v>528617.68999999994</v>
      </c>
      <c r="G101" s="7">
        <v>0.99739186792452805</v>
      </c>
      <c r="H101" s="10">
        <v>0.99739186792452805</v>
      </c>
      <c r="I101" s="10">
        <v>0.99739186792452805</v>
      </c>
      <c r="J101" s="10">
        <v>1</v>
      </c>
      <c r="K101" t="s">
        <v>56</v>
      </c>
    </row>
    <row r="102" spans="1:11" ht="30" x14ac:dyDescent="0.25">
      <c r="A102" s="11" t="s">
        <v>322</v>
      </c>
      <c r="B102" s="6">
        <v>236070.8</v>
      </c>
      <c r="C102" s="6">
        <v>236070.8</v>
      </c>
      <c r="D102" s="6">
        <v>0</v>
      </c>
      <c r="E102" s="6">
        <v>236070.8</v>
      </c>
      <c r="F102" s="6">
        <v>236070.8</v>
      </c>
      <c r="G102" s="7">
        <v>1</v>
      </c>
      <c r="H102" s="10">
        <v>1</v>
      </c>
      <c r="I102" s="10">
        <v>1</v>
      </c>
      <c r="J102" s="10">
        <v>1</v>
      </c>
      <c r="K102" t="s">
        <v>56</v>
      </c>
    </row>
    <row r="103" spans="1:11" ht="30" x14ac:dyDescent="0.25">
      <c r="A103" s="11" t="s">
        <v>321</v>
      </c>
      <c r="B103" s="6">
        <v>2507500</v>
      </c>
      <c r="C103" s="6">
        <v>2507500</v>
      </c>
      <c r="D103" s="6">
        <v>0</v>
      </c>
      <c r="E103" s="6">
        <v>1247946</v>
      </c>
      <c r="F103" s="6">
        <v>1247946</v>
      </c>
      <c r="G103" s="7">
        <v>0.49768534396809599</v>
      </c>
      <c r="H103" s="10">
        <v>0.49768534396809599</v>
      </c>
      <c r="I103" s="10">
        <v>0.49768534396809599</v>
      </c>
      <c r="J103" s="10">
        <v>0.6</v>
      </c>
      <c r="K103" t="s">
        <v>56</v>
      </c>
    </row>
    <row r="104" spans="1:11" ht="30" x14ac:dyDescent="0.25">
      <c r="A104" s="11" t="s">
        <v>320</v>
      </c>
      <c r="B104" s="6">
        <v>2345262</v>
      </c>
      <c r="C104" s="6">
        <v>2345262</v>
      </c>
      <c r="D104" s="6">
        <v>0</v>
      </c>
      <c r="E104" s="6">
        <v>0</v>
      </c>
      <c r="F104" s="6">
        <v>0</v>
      </c>
      <c r="G104" s="7">
        <v>0</v>
      </c>
      <c r="H104" s="10">
        <v>0</v>
      </c>
      <c r="I104" s="10">
        <v>0</v>
      </c>
      <c r="J104" s="10">
        <v>0</v>
      </c>
      <c r="K104" t="s">
        <v>56</v>
      </c>
    </row>
    <row r="105" spans="1:11" ht="60" x14ac:dyDescent="0.25">
      <c r="A105" s="11" t="s">
        <v>319</v>
      </c>
      <c r="B105" s="6">
        <v>572806.22</v>
      </c>
      <c r="C105" s="6">
        <v>572806.22</v>
      </c>
      <c r="D105" s="6">
        <v>0</v>
      </c>
      <c r="E105" s="6">
        <v>0</v>
      </c>
      <c r="F105" s="6">
        <v>0</v>
      </c>
      <c r="G105" s="7">
        <v>0</v>
      </c>
      <c r="H105" s="10">
        <v>0</v>
      </c>
      <c r="I105" s="10">
        <v>0</v>
      </c>
      <c r="J105" s="10">
        <v>0</v>
      </c>
      <c r="K105" t="s">
        <v>56</v>
      </c>
    </row>
    <row r="106" spans="1:11" ht="30" x14ac:dyDescent="0.25">
      <c r="A106" s="11" t="s">
        <v>318</v>
      </c>
      <c r="B106" s="6">
        <v>50000</v>
      </c>
      <c r="C106" s="6">
        <v>50000</v>
      </c>
      <c r="D106" s="6">
        <v>0</v>
      </c>
      <c r="E106" s="6">
        <v>0</v>
      </c>
      <c r="F106" s="6">
        <v>0</v>
      </c>
      <c r="G106" s="7">
        <v>0</v>
      </c>
      <c r="H106" s="10">
        <v>0</v>
      </c>
      <c r="I106" s="10">
        <v>0</v>
      </c>
      <c r="J106" s="10">
        <v>0</v>
      </c>
      <c r="K106" t="s">
        <v>69</v>
      </c>
    </row>
    <row r="107" spans="1:11" ht="30" x14ac:dyDescent="0.25">
      <c r="A107" s="11" t="s">
        <v>317</v>
      </c>
      <c r="B107" s="6">
        <v>50000</v>
      </c>
      <c r="C107" s="6">
        <v>50000</v>
      </c>
      <c r="D107" s="6">
        <v>0</v>
      </c>
      <c r="E107" s="6">
        <v>0</v>
      </c>
      <c r="F107" s="6">
        <v>0</v>
      </c>
      <c r="G107" s="7">
        <v>0</v>
      </c>
      <c r="H107" s="10">
        <v>0</v>
      </c>
      <c r="I107" s="10">
        <v>0</v>
      </c>
      <c r="J107" s="10">
        <v>0</v>
      </c>
      <c r="K107" t="s">
        <v>69</v>
      </c>
    </row>
    <row r="108" spans="1:11" ht="30" x14ac:dyDescent="0.25">
      <c r="A108" s="11" t="s">
        <v>316</v>
      </c>
      <c r="B108" s="6">
        <v>85000</v>
      </c>
      <c r="C108" s="6">
        <v>85000</v>
      </c>
      <c r="D108" s="6">
        <v>0</v>
      </c>
      <c r="E108" s="6">
        <v>0</v>
      </c>
      <c r="F108" s="6">
        <v>0</v>
      </c>
      <c r="G108" s="7">
        <v>0</v>
      </c>
      <c r="H108" s="10">
        <v>0</v>
      </c>
      <c r="I108" s="10">
        <v>0</v>
      </c>
      <c r="J108" s="10">
        <v>0</v>
      </c>
      <c r="K108" t="s">
        <v>69</v>
      </c>
    </row>
    <row r="109" spans="1:11" ht="45" x14ac:dyDescent="0.25">
      <c r="A109" s="11" t="s">
        <v>315</v>
      </c>
      <c r="B109" s="6">
        <v>115000</v>
      </c>
      <c r="C109" s="6">
        <v>115000</v>
      </c>
      <c r="D109" s="6">
        <v>0</v>
      </c>
      <c r="E109" s="6">
        <v>115000</v>
      </c>
      <c r="F109" s="6">
        <v>115000</v>
      </c>
      <c r="G109" s="7">
        <v>1</v>
      </c>
      <c r="H109" s="10">
        <v>1</v>
      </c>
      <c r="I109" s="10">
        <v>1</v>
      </c>
      <c r="J109" s="10">
        <v>1</v>
      </c>
      <c r="K109" t="s">
        <v>69</v>
      </c>
    </row>
    <row r="110" spans="1:11" ht="60" x14ac:dyDescent="0.25">
      <c r="A110" s="11" t="s">
        <v>314</v>
      </c>
      <c r="B110" s="6">
        <v>50000</v>
      </c>
      <c r="C110" s="6">
        <v>50000</v>
      </c>
      <c r="D110" s="6">
        <v>0</v>
      </c>
      <c r="E110" s="6">
        <v>0</v>
      </c>
      <c r="F110" s="6">
        <v>0</v>
      </c>
      <c r="G110" s="7">
        <v>0</v>
      </c>
      <c r="H110" s="10">
        <v>0</v>
      </c>
      <c r="I110" s="10">
        <v>0</v>
      </c>
      <c r="J110" s="10">
        <v>0</v>
      </c>
      <c r="K110" t="s">
        <v>69</v>
      </c>
    </row>
    <row r="111" spans="1:11" ht="30" x14ac:dyDescent="0.25">
      <c r="A111" s="11" t="s">
        <v>313</v>
      </c>
      <c r="B111" s="6">
        <v>30000</v>
      </c>
      <c r="C111" s="6">
        <v>30000</v>
      </c>
      <c r="D111" s="6">
        <v>0</v>
      </c>
      <c r="E111" s="6">
        <v>0</v>
      </c>
      <c r="F111" s="6">
        <v>0</v>
      </c>
      <c r="G111" s="7">
        <v>0</v>
      </c>
      <c r="H111" s="10">
        <v>0</v>
      </c>
      <c r="I111" s="10">
        <v>0</v>
      </c>
      <c r="J111" s="10">
        <v>0</v>
      </c>
      <c r="K111" t="s">
        <v>69</v>
      </c>
    </row>
    <row r="112" spans="1:11" ht="30" x14ac:dyDescent="0.25">
      <c r="A112" s="11" t="s">
        <v>312</v>
      </c>
      <c r="B112" s="6">
        <v>516840</v>
      </c>
      <c r="C112" s="6">
        <v>516840</v>
      </c>
      <c r="D112" s="6">
        <v>0</v>
      </c>
      <c r="E112" s="6">
        <v>0</v>
      </c>
      <c r="F112" s="6">
        <v>0</v>
      </c>
      <c r="G112" s="7">
        <v>0</v>
      </c>
      <c r="H112" s="10">
        <v>0</v>
      </c>
      <c r="I112" s="10">
        <v>0</v>
      </c>
      <c r="J112" s="10">
        <v>0</v>
      </c>
      <c r="K112" t="s">
        <v>69</v>
      </c>
    </row>
    <row r="113" spans="1:11" ht="60" x14ac:dyDescent="0.25">
      <c r="A113" s="11" t="s">
        <v>311</v>
      </c>
      <c r="B113" s="6">
        <v>444860</v>
      </c>
      <c r="C113" s="6">
        <v>444860</v>
      </c>
      <c r="D113" s="6">
        <v>0</v>
      </c>
      <c r="E113" s="6">
        <v>0</v>
      </c>
      <c r="F113" s="6">
        <v>0</v>
      </c>
      <c r="G113" s="7">
        <v>0</v>
      </c>
      <c r="H113" s="10">
        <v>0</v>
      </c>
      <c r="I113" s="10">
        <v>0</v>
      </c>
      <c r="J113" s="10">
        <v>0</v>
      </c>
      <c r="K113" t="s">
        <v>109</v>
      </c>
    </row>
    <row r="114" spans="1:11" ht="30" x14ac:dyDescent="0.25">
      <c r="A114" s="11" t="s">
        <v>310</v>
      </c>
      <c r="B114" s="6">
        <v>1100000</v>
      </c>
      <c r="C114" s="6">
        <v>1100000</v>
      </c>
      <c r="D114" s="6">
        <v>0</v>
      </c>
      <c r="E114" s="6">
        <v>1100000</v>
      </c>
      <c r="F114" s="6">
        <v>1100000</v>
      </c>
      <c r="G114" s="7">
        <v>1</v>
      </c>
      <c r="H114" s="10">
        <v>1</v>
      </c>
      <c r="I114" s="10">
        <v>1</v>
      </c>
      <c r="J114" s="10">
        <v>1</v>
      </c>
      <c r="K114" t="s">
        <v>109</v>
      </c>
    </row>
    <row r="115" spans="1:11" ht="30" x14ac:dyDescent="0.25">
      <c r="A115" s="11" t="s">
        <v>309</v>
      </c>
      <c r="B115" s="6">
        <v>50000</v>
      </c>
      <c r="C115" s="6">
        <v>50000</v>
      </c>
      <c r="D115" s="6">
        <v>0</v>
      </c>
      <c r="E115" s="6">
        <v>0</v>
      </c>
      <c r="F115" s="6">
        <v>0</v>
      </c>
      <c r="G115" s="7">
        <v>0</v>
      </c>
      <c r="H115" s="10">
        <v>0</v>
      </c>
      <c r="I115" s="10">
        <v>0</v>
      </c>
      <c r="J115" s="10">
        <v>0</v>
      </c>
      <c r="K115" t="s">
        <v>109</v>
      </c>
    </row>
    <row r="116" spans="1:11" ht="30" x14ac:dyDescent="0.25">
      <c r="A116" s="11" t="s">
        <v>308</v>
      </c>
      <c r="B116" s="6">
        <v>561000</v>
      </c>
      <c r="C116" s="6">
        <v>561000</v>
      </c>
      <c r="D116" s="6">
        <v>0</v>
      </c>
      <c r="E116" s="6">
        <v>561000</v>
      </c>
      <c r="F116" s="6">
        <v>561000</v>
      </c>
      <c r="G116" s="7">
        <v>1</v>
      </c>
      <c r="H116" s="10">
        <v>1</v>
      </c>
      <c r="I116" s="10">
        <v>1</v>
      </c>
      <c r="J116" s="10">
        <v>1</v>
      </c>
      <c r="K116" t="s">
        <v>109</v>
      </c>
    </row>
    <row r="117" spans="1:11" ht="30" x14ac:dyDescent="0.25">
      <c r="A117" s="11" t="s">
        <v>307</v>
      </c>
      <c r="B117" s="6">
        <v>860517</v>
      </c>
      <c r="C117" s="6">
        <v>860517</v>
      </c>
      <c r="D117" s="6">
        <v>0</v>
      </c>
      <c r="E117" s="6">
        <v>0</v>
      </c>
      <c r="F117" s="6">
        <v>0</v>
      </c>
      <c r="G117" s="7">
        <v>0</v>
      </c>
      <c r="H117" s="10">
        <v>0</v>
      </c>
      <c r="I117" s="10">
        <v>0</v>
      </c>
      <c r="J117" s="10">
        <v>0</v>
      </c>
      <c r="K117" t="s">
        <v>109</v>
      </c>
    </row>
    <row r="118" spans="1:11" ht="30" x14ac:dyDescent="0.25">
      <c r="A118" s="11" t="s">
        <v>306</v>
      </c>
      <c r="B118" s="6">
        <v>2320000</v>
      </c>
      <c r="C118" s="6">
        <v>2320000</v>
      </c>
      <c r="D118" s="6">
        <v>0</v>
      </c>
      <c r="E118" s="6">
        <v>2320000</v>
      </c>
      <c r="F118" s="6">
        <v>2320000</v>
      </c>
      <c r="G118" s="7">
        <v>1</v>
      </c>
      <c r="H118" s="10">
        <v>1</v>
      </c>
      <c r="I118" s="10">
        <v>1</v>
      </c>
      <c r="J118" s="10">
        <v>1</v>
      </c>
      <c r="K118" t="s">
        <v>109</v>
      </c>
    </row>
    <row r="119" spans="1:11" ht="75" x14ac:dyDescent="0.25">
      <c r="A119" s="11" t="s">
        <v>305</v>
      </c>
      <c r="B119" s="6">
        <v>5215000</v>
      </c>
      <c r="C119" s="6">
        <v>5215000</v>
      </c>
      <c r="D119" s="6">
        <v>0</v>
      </c>
      <c r="E119" s="6">
        <v>0</v>
      </c>
      <c r="F119" s="6">
        <v>0</v>
      </c>
      <c r="G119" s="7">
        <v>0</v>
      </c>
      <c r="H119" s="10">
        <v>0</v>
      </c>
      <c r="I119" s="10">
        <v>0</v>
      </c>
      <c r="J119" s="10">
        <v>0</v>
      </c>
      <c r="K119" t="s">
        <v>109</v>
      </c>
    </row>
    <row r="120" spans="1:11" ht="30" x14ac:dyDescent="0.25">
      <c r="A120" s="11" t="s">
        <v>304</v>
      </c>
      <c r="B120" s="6">
        <v>40000</v>
      </c>
      <c r="C120" s="6">
        <v>40000</v>
      </c>
      <c r="D120" s="6">
        <v>0</v>
      </c>
      <c r="E120" s="6">
        <v>40000</v>
      </c>
      <c r="F120" s="6">
        <v>40000</v>
      </c>
      <c r="G120" s="7">
        <v>1</v>
      </c>
      <c r="H120" s="10">
        <v>1</v>
      </c>
      <c r="I120" s="10">
        <v>1</v>
      </c>
      <c r="J120" s="10">
        <v>1</v>
      </c>
      <c r="K120" t="s">
        <v>109</v>
      </c>
    </row>
    <row r="121" spans="1:11" ht="30" x14ac:dyDescent="0.25">
      <c r="A121" s="11" t="s">
        <v>303</v>
      </c>
      <c r="B121" s="6">
        <v>80000</v>
      </c>
      <c r="C121" s="6">
        <v>80000</v>
      </c>
      <c r="D121" s="6">
        <v>0</v>
      </c>
      <c r="E121" s="6">
        <v>0</v>
      </c>
      <c r="F121" s="6">
        <v>0</v>
      </c>
      <c r="G121" s="7">
        <v>0</v>
      </c>
      <c r="H121" s="10">
        <v>0</v>
      </c>
      <c r="I121" s="10">
        <v>0</v>
      </c>
      <c r="J121" s="10">
        <v>0</v>
      </c>
      <c r="K121" t="s">
        <v>109</v>
      </c>
    </row>
    <row r="122" spans="1:11" ht="45" x14ac:dyDescent="0.25">
      <c r="A122" s="11" t="s">
        <v>302</v>
      </c>
      <c r="B122" s="6">
        <v>70000</v>
      </c>
      <c r="C122" s="6">
        <v>70000</v>
      </c>
      <c r="D122" s="6">
        <v>0</v>
      </c>
      <c r="E122" s="6">
        <v>0</v>
      </c>
      <c r="F122" s="6">
        <v>0</v>
      </c>
      <c r="G122" s="7">
        <v>0</v>
      </c>
      <c r="H122" s="10">
        <v>0</v>
      </c>
      <c r="I122" s="10">
        <v>0</v>
      </c>
      <c r="J122" s="10">
        <v>0</v>
      </c>
      <c r="K122" t="s">
        <v>109</v>
      </c>
    </row>
    <row r="123" spans="1:11" ht="30" x14ac:dyDescent="0.25">
      <c r="A123" s="11" t="s">
        <v>301</v>
      </c>
      <c r="B123" s="6">
        <v>25000</v>
      </c>
      <c r="C123" s="6">
        <v>25000</v>
      </c>
      <c r="D123" s="6">
        <v>0</v>
      </c>
      <c r="E123" s="6">
        <v>16000</v>
      </c>
      <c r="F123" s="6">
        <v>16000</v>
      </c>
      <c r="G123" s="7">
        <v>0.64</v>
      </c>
      <c r="H123" s="10">
        <v>0.64</v>
      </c>
      <c r="I123" s="10">
        <v>0.64</v>
      </c>
      <c r="J123" s="10">
        <v>1</v>
      </c>
      <c r="K123" t="s">
        <v>80</v>
      </c>
    </row>
    <row r="124" spans="1:11" ht="30" x14ac:dyDescent="0.25">
      <c r="A124" s="11" t="s">
        <v>300</v>
      </c>
      <c r="B124" s="6">
        <v>70000</v>
      </c>
      <c r="C124" s="6">
        <v>70000</v>
      </c>
      <c r="D124" s="6">
        <v>0</v>
      </c>
      <c r="E124" s="6">
        <v>0</v>
      </c>
      <c r="F124" s="6">
        <v>0</v>
      </c>
      <c r="G124" s="7">
        <v>0</v>
      </c>
      <c r="H124" s="10">
        <v>0</v>
      </c>
      <c r="I124" s="10">
        <v>0</v>
      </c>
      <c r="J124" s="10">
        <v>0</v>
      </c>
      <c r="K124" t="s">
        <v>109</v>
      </c>
    </row>
    <row r="125" spans="1:11" ht="30" x14ac:dyDescent="0.25">
      <c r="A125" s="11" t="s">
        <v>299</v>
      </c>
      <c r="B125" s="6">
        <v>185000</v>
      </c>
      <c r="C125" s="6">
        <v>185000</v>
      </c>
      <c r="D125" s="6">
        <v>0</v>
      </c>
      <c r="E125" s="6">
        <v>185000</v>
      </c>
      <c r="F125" s="6">
        <v>185000</v>
      </c>
      <c r="G125" s="7">
        <v>1</v>
      </c>
      <c r="H125" s="10">
        <v>1</v>
      </c>
      <c r="I125" s="10">
        <v>1</v>
      </c>
      <c r="J125" s="10">
        <v>1</v>
      </c>
      <c r="K125" t="s">
        <v>109</v>
      </c>
    </row>
    <row r="126" spans="1:11" ht="30" x14ac:dyDescent="0.25">
      <c r="A126" s="11" t="s">
        <v>298</v>
      </c>
      <c r="B126" s="6">
        <v>490000</v>
      </c>
      <c r="C126" s="6">
        <v>490000</v>
      </c>
      <c r="D126" s="6">
        <v>0</v>
      </c>
      <c r="E126" s="6">
        <v>0</v>
      </c>
      <c r="F126" s="6">
        <v>0</v>
      </c>
      <c r="G126" s="7">
        <v>0</v>
      </c>
      <c r="H126" s="10">
        <v>0</v>
      </c>
      <c r="I126" s="10">
        <v>0</v>
      </c>
      <c r="J126" s="10">
        <v>0</v>
      </c>
      <c r="K126" t="s">
        <v>71</v>
      </c>
    </row>
    <row r="127" spans="1:11" ht="30" x14ac:dyDescent="0.25">
      <c r="A127" s="11" t="s">
        <v>297</v>
      </c>
      <c r="B127" s="6">
        <v>1970356</v>
      </c>
      <c r="C127" s="6">
        <v>1970356</v>
      </c>
      <c r="D127" s="6">
        <v>0</v>
      </c>
      <c r="E127" s="6">
        <v>1970356</v>
      </c>
      <c r="F127" s="6">
        <v>1970356</v>
      </c>
      <c r="G127" s="7">
        <v>1</v>
      </c>
      <c r="H127" s="10">
        <v>1</v>
      </c>
      <c r="I127" s="10">
        <v>1</v>
      </c>
      <c r="J127" s="10">
        <v>1</v>
      </c>
      <c r="K127" t="s">
        <v>71</v>
      </c>
    </row>
    <row r="128" spans="1:11" ht="30" x14ac:dyDescent="0.25">
      <c r="A128" s="11" t="s">
        <v>296</v>
      </c>
      <c r="B128" s="6">
        <v>1000000</v>
      </c>
      <c r="C128" s="6">
        <v>1000000</v>
      </c>
      <c r="D128" s="6">
        <v>0</v>
      </c>
      <c r="E128" s="6">
        <v>1000000</v>
      </c>
      <c r="F128" s="6">
        <v>1000000</v>
      </c>
      <c r="G128" s="7">
        <v>1</v>
      </c>
      <c r="H128" s="10">
        <v>1</v>
      </c>
      <c r="I128" s="10">
        <v>1</v>
      </c>
      <c r="J128" s="10">
        <v>1</v>
      </c>
      <c r="K128" t="s">
        <v>71</v>
      </c>
    </row>
    <row r="129" spans="1:11" ht="60" x14ac:dyDescent="0.25">
      <c r="A129" s="11" t="s">
        <v>295</v>
      </c>
      <c r="B129" s="6">
        <v>580000</v>
      </c>
      <c r="C129" s="6">
        <v>580000</v>
      </c>
      <c r="D129" s="6">
        <v>0</v>
      </c>
      <c r="E129" s="6">
        <v>580000</v>
      </c>
      <c r="F129" s="6">
        <v>580000</v>
      </c>
      <c r="G129" s="7">
        <v>1</v>
      </c>
      <c r="H129" s="10">
        <v>1</v>
      </c>
      <c r="I129" s="10">
        <v>1</v>
      </c>
      <c r="J129" s="10">
        <v>1</v>
      </c>
      <c r="K129" t="s">
        <v>71</v>
      </c>
    </row>
    <row r="130" spans="1:11" ht="60" x14ac:dyDescent="0.25">
      <c r="A130" s="11" t="s">
        <v>294</v>
      </c>
      <c r="B130" s="6">
        <v>2646250</v>
      </c>
      <c r="C130" s="6">
        <v>2646250</v>
      </c>
      <c r="D130" s="6">
        <v>0</v>
      </c>
      <c r="E130" s="6">
        <v>0</v>
      </c>
      <c r="F130" s="6">
        <v>0</v>
      </c>
      <c r="G130" s="7">
        <v>0</v>
      </c>
      <c r="H130" s="10">
        <v>0</v>
      </c>
      <c r="I130" s="10">
        <v>0</v>
      </c>
      <c r="J130" s="10">
        <v>0</v>
      </c>
      <c r="K130" t="s">
        <v>71</v>
      </c>
    </row>
    <row r="131" spans="1:11" ht="30" x14ac:dyDescent="0.25">
      <c r="A131" s="11" t="s">
        <v>293</v>
      </c>
      <c r="B131" s="6">
        <v>397130.01</v>
      </c>
      <c r="C131" s="6">
        <v>397130.01</v>
      </c>
      <c r="D131" s="6">
        <v>0</v>
      </c>
      <c r="E131" s="6">
        <v>397130.01</v>
      </c>
      <c r="F131" s="6">
        <v>397130.01</v>
      </c>
      <c r="G131" s="7">
        <v>1</v>
      </c>
      <c r="H131" s="10">
        <v>1</v>
      </c>
      <c r="I131" s="10">
        <v>1</v>
      </c>
      <c r="J131" s="10">
        <v>1</v>
      </c>
      <c r="K131" t="s">
        <v>66</v>
      </c>
    </row>
    <row r="132" spans="1:11" ht="30" x14ac:dyDescent="0.25">
      <c r="A132" s="11" t="s">
        <v>292</v>
      </c>
      <c r="B132" s="6">
        <v>40000</v>
      </c>
      <c r="C132" s="6">
        <v>40000</v>
      </c>
      <c r="D132" s="6">
        <v>0</v>
      </c>
      <c r="E132" s="6">
        <v>0</v>
      </c>
      <c r="F132" s="6">
        <v>0</v>
      </c>
      <c r="G132" s="7">
        <v>0</v>
      </c>
      <c r="H132" s="10">
        <v>0</v>
      </c>
      <c r="I132" s="10">
        <v>0</v>
      </c>
      <c r="J132" s="10">
        <v>0</v>
      </c>
      <c r="K132" t="s">
        <v>66</v>
      </c>
    </row>
    <row r="133" spans="1:11" ht="30" x14ac:dyDescent="0.25">
      <c r="A133" s="11" t="s">
        <v>291</v>
      </c>
      <c r="B133" s="6">
        <v>90000</v>
      </c>
      <c r="C133" s="6">
        <v>90000</v>
      </c>
      <c r="D133" s="6">
        <v>0</v>
      </c>
      <c r="E133" s="6">
        <v>0</v>
      </c>
      <c r="F133" s="6">
        <v>0</v>
      </c>
      <c r="G133" s="7">
        <v>0</v>
      </c>
      <c r="H133" s="10">
        <v>0</v>
      </c>
      <c r="I133" s="10">
        <v>0</v>
      </c>
      <c r="J133" s="10">
        <v>0</v>
      </c>
      <c r="K133" t="s">
        <v>66</v>
      </c>
    </row>
    <row r="134" spans="1:11" ht="30" x14ac:dyDescent="0.25">
      <c r="A134" s="11" t="s">
        <v>290</v>
      </c>
      <c r="B134" s="6">
        <v>354000</v>
      </c>
      <c r="C134" s="6">
        <v>354000</v>
      </c>
      <c r="D134" s="6">
        <v>0</v>
      </c>
      <c r="E134" s="6">
        <v>0</v>
      </c>
      <c r="F134" s="6">
        <v>0</v>
      </c>
      <c r="G134" s="7">
        <v>0</v>
      </c>
      <c r="H134" s="10">
        <v>0</v>
      </c>
      <c r="I134" s="10">
        <v>0</v>
      </c>
      <c r="J134" s="10">
        <v>0</v>
      </c>
      <c r="K134" t="s">
        <v>66</v>
      </c>
    </row>
    <row r="135" spans="1:11" ht="45" x14ac:dyDescent="0.25">
      <c r="A135" s="11" t="s">
        <v>289</v>
      </c>
      <c r="B135" s="6">
        <v>354000</v>
      </c>
      <c r="C135" s="6">
        <v>354000</v>
      </c>
      <c r="D135" s="6">
        <v>0</v>
      </c>
      <c r="E135" s="6">
        <v>0</v>
      </c>
      <c r="F135" s="6">
        <v>0</v>
      </c>
      <c r="G135" s="7">
        <v>0</v>
      </c>
      <c r="H135" s="10">
        <v>0</v>
      </c>
      <c r="I135" s="10">
        <v>0</v>
      </c>
      <c r="J135" s="10">
        <v>0</v>
      </c>
      <c r="K135" t="s">
        <v>66</v>
      </c>
    </row>
    <row r="136" spans="1:11" ht="30" x14ac:dyDescent="0.25">
      <c r="A136" s="11" t="s">
        <v>288</v>
      </c>
      <c r="B136" s="6">
        <v>1220000</v>
      </c>
      <c r="C136" s="6">
        <v>1220000</v>
      </c>
      <c r="D136" s="6">
        <v>0</v>
      </c>
      <c r="E136" s="6">
        <v>1220000</v>
      </c>
      <c r="F136" s="6">
        <v>1220000</v>
      </c>
      <c r="G136" s="7">
        <v>1</v>
      </c>
      <c r="H136" s="10">
        <v>1</v>
      </c>
      <c r="I136" s="10">
        <v>1</v>
      </c>
      <c r="J136" s="10">
        <v>1</v>
      </c>
      <c r="K136" t="s">
        <v>66</v>
      </c>
    </row>
    <row r="137" spans="1:11" ht="30" x14ac:dyDescent="0.25">
      <c r="A137" s="11" t="s">
        <v>287</v>
      </c>
      <c r="B137" s="6">
        <v>525851.06999999995</v>
      </c>
      <c r="C137" s="6">
        <v>525851.06999999995</v>
      </c>
      <c r="D137" s="6">
        <v>0</v>
      </c>
      <c r="E137" s="6">
        <v>100000</v>
      </c>
      <c r="F137" s="6">
        <v>100000</v>
      </c>
      <c r="G137" s="7">
        <v>0.19016791199074701</v>
      </c>
      <c r="H137" s="10">
        <v>0.19016791199074701</v>
      </c>
      <c r="I137" s="10">
        <v>0.19016791199074701</v>
      </c>
      <c r="J137" s="10">
        <v>0.2</v>
      </c>
      <c r="K137" t="s">
        <v>66</v>
      </c>
    </row>
    <row r="138" spans="1:11" ht="30" x14ac:dyDescent="0.25">
      <c r="A138" s="11" t="s">
        <v>286</v>
      </c>
      <c r="B138" s="6">
        <v>950000</v>
      </c>
      <c r="C138" s="6">
        <v>950000</v>
      </c>
      <c r="D138" s="6">
        <v>0</v>
      </c>
      <c r="E138" s="6">
        <v>0</v>
      </c>
      <c r="F138" s="6">
        <v>0</v>
      </c>
      <c r="G138" s="7">
        <v>0</v>
      </c>
      <c r="H138" s="10">
        <v>0</v>
      </c>
      <c r="I138" s="10">
        <v>0</v>
      </c>
      <c r="J138" s="10">
        <v>0</v>
      </c>
      <c r="K138" t="s">
        <v>66</v>
      </c>
    </row>
    <row r="139" spans="1:11" ht="30" x14ac:dyDescent="0.25">
      <c r="A139" s="11" t="s">
        <v>285</v>
      </c>
      <c r="B139" s="6">
        <v>657083</v>
      </c>
      <c r="C139" s="6">
        <v>657083</v>
      </c>
      <c r="D139" s="6">
        <v>0</v>
      </c>
      <c r="E139" s="6">
        <v>657083</v>
      </c>
      <c r="F139" s="6">
        <v>657083</v>
      </c>
      <c r="G139" s="7">
        <v>0</v>
      </c>
      <c r="H139" s="10">
        <v>0</v>
      </c>
      <c r="I139" s="10">
        <v>0</v>
      </c>
      <c r="J139" s="10">
        <v>0</v>
      </c>
      <c r="K139" t="s">
        <v>80</v>
      </c>
    </row>
    <row r="140" spans="1:11" ht="45" x14ac:dyDescent="0.25">
      <c r="A140" s="11" t="s">
        <v>284</v>
      </c>
      <c r="B140" s="6">
        <v>308420</v>
      </c>
      <c r="C140" s="6">
        <v>308420</v>
      </c>
      <c r="D140" s="6">
        <v>0</v>
      </c>
      <c r="E140" s="6">
        <v>0</v>
      </c>
      <c r="F140" s="6">
        <v>0</v>
      </c>
      <c r="G140" s="7">
        <v>0</v>
      </c>
      <c r="H140" s="10">
        <v>0</v>
      </c>
      <c r="I140" s="10">
        <v>0</v>
      </c>
      <c r="J140" s="10">
        <v>0</v>
      </c>
      <c r="K140" t="s">
        <v>69</v>
      </c>
    </row>
    <row r="141" spans="1:11" ht="45" x14ac:dyDescent="0.25">
      <c r="A141" s="11" t="s">
        <v>283</v>
      </c>
      <c r="B141" s="6">
        <v>200482</v>
      </c>
      <c r="C141" s="6">
        <v>200482</v>
      </c>
      <c r="D141" s="6">
        <v>0</v>
      </c>
      <c r="E141" s="6">
        <v>0</v>
      </c>
      <c r="F141" s="6">
        <v>0</v>
      </c>
      <c r="G141" s="7">
        <v>0</v>
      </c>
      <c r="H141" s="10">
        <v>0</v>
      </c>
      <c r="I141" s="10">
        <v>0</v>
      </c>
      <c r="J141" s="10">
        <v>0</v>
      </c>
      <c r="K141" t="s">
        <v>109</v>
      </c>
    </row>
    <row r="142" spans="1:11" ht="75" x14ac:dyDescent="0.25">
      <c r="A142" s="11" t="s">
        <v>282</v>
      </c>
      <c r="B142" s="6">
        <v>200000</v>
      </c>
      <c r="C142" s="6">
        <v>200000</v>
      </c>
      <c r="D142" s="6">
        <v>0</v>
      </c>
      <c r="E142" s="6">
        <v>173117.8</v>
      </c>
      <c r="F142" s="6">
        <v>173117.8</v>
      </c>
      <c r="G142" s="7">
        <v>0.86558900000000005</v>
      </c>
      <c r="H142" s="10">
        <v>0.86558900000000005</v>
      </c>
      <c r="I142" s="10">
        <v>0.86558900000000005</v>
      </c>
      <c r="J142" s="10">
        <v>1</v>
      </c>
      <c r="K142" t="s">
        <v>56</v>
      </c>
    </row>
    <row r="143" spans="1:11" ht="45" x14ac:dyDescent="0.25">
      <c r="A143" s="11" t="s">
        <v>281</v>
      </c>
      <c r="B143" s="6">
        <v>155760</v>
      </c>
      <c r="C143" s="6">
        <v>155760</v>
      </c>
      <c r="D143" s="6">
        <v>0</v>
      </c>
      <c r="E143" s="6">
        <v>0</v>
      </c>
      <c r="F143" s="6">
        <v>0</v>
      </c>
      <c r="G143" s="7">
        <v>0</v>
      </c>
      <c r="H143" s="10">
        <v>0</v>
      </c>
      <c r="I143" s="10">
        <v>0</v>
      </c>
      <c r="J143" s="10">
        <v>0</v>
      </c>
      <c r="K143" t="s">
        <v>56</v>
      </c>
    </row>
    <row r="144" spans="1:11" ht="30" x14ac:dyDescent="0.25">
      <c r="A144" s="11" t="s">
        <v>280</v>
      </c>
      <c r="B144" s="6">
        <v>300000</v>
      </c>
      <c r="C144" s="6">
        <v>300000</v>
      </c>
      <c r="D144" s="6">
        <v>0</v>
      </c>
      <c r="E144" s="6">
        <v>300000</v>
      </c>
      <c r="F144" s="6">
        <v>300000</v>
      </c>
      <c r="G144" s="7">
        <v>1</v>
      </c>
      <c r="H144" s="10">
        <v>1</v>
      </c>
      <c r="I144" s="10">
        <v>1</v>
      </c>
      <c r="J144" s="10">
        <v>1</v>
      </c>
      <c r="K144" t="s">
        <v>109</v>
      </c>
    </row>
    <row r="145" spans="1:11" x14ac:dyDescent="0.25">
      <c r="A145" s="11" t="s">
        <v>279</v>
      </c>
      <c r="B145" s="6">
        <v>91115</v>
      </c>
      <c r="C145" s="6">
        <v>860000</v>
      </c>
      <c r="D145" s="6">
        <v>768885</v>
      </c>
      <c r="E145" s="6">
        <v>91115</v>
      </c>
      <c r="F145" s="6">
        <v>860000</v>
      </c>
      <c r="G145" s="7">
        <v>1</v>
      </c>
      <c r="H145" s="10">
        <v>1</v>
      </c>
      <c r="I145" s="10">
        <v>1</v>
      </c>
      <c r="J145" s="10">
        <v>1</v>
      </c>
      <c r="K145" t="s">
        <v>119</v>
      </c>
    </row>
    <row r="146" spans="1:11" x14ac:dyDescent="0.25">
      <c r="A146" s="11" t="s">
        <v>278</v>
      </c>
      <c r="B146" s="6">
        <v>498158</v>
      </c>
      <c r="C146" s="6">
        <v>17617400</v>
      </c>
      <c r="D146" s="6">
        <v>2956279</v>
      </c>
      <c r="E146" s="6">
        <v>0</v>
      </c>
      <c r="F146" s="6">
        <v>2956279</v>
      </c>
      <c r="G146" s="7">
        <v>0.167804500096496</v>
      </c>
      <c r="H146" s="10">
        <v>0</v>
      </c>
      <c r="I146" s="10">
        <v>0</v>
      </c>
      <c r="J146" s="10">
        <v>0.4</v>
      </c>
      <c r="K146" t="s">
        <v>74</v>
      </c>
    </row>
    <row r="147" spans="1:11" ht="30" x14ac:dyDescent="0.25">
      <c r="A147" s="11" t="s">
        <v>277</v>
      </c>
      <c r="B147" s="6">
        <v>150000</v>
      </c>
      <c r="C147" s="6">
        <v>150000</v>
      </c>
      <c r="D147" s="6">
        <v>0</v>
      </c>
      <c r="E147" s="6">
        <v>0</v>
      </c>
      <c r="F147" s="6">
        <v>0</v>
      </c>
      <c r="G147" s="7">
        <v>0</v>
      </c>
      <c r="H147" s="10">
        <v>0</v>
      </c>
      <c r="I147" s="10">
        <v>0</v>
      </c>
      <c r="J147" s="10">
        <v>0</v>
      </c>
      <c r="K147" t="s">
        <v>78</v>
      </c>
    </row>
    <row r="148" spans="1:11" ht="45" x14ac:dyDescent="0.25">
      <c r="A148" s="11" t="s">
        <v>276</v>
      </c>
      <c r="B148" s="6">
        <v>588442.4</v>
      </c>
      <c r="C148" s="6">
        <v>588442.4</v>
      </c>
      <c r="D148" s="6">
        <v>0</v>
      </c>
      <c r="E148" s="6">
        <v>0</v>
      </c>
      <c r="F148" s="6">
        <v>0</v>
      </c>
      <c r="G148" s="7">
        <v>0</v>
      </c>
      <c r="H148" s="10">
        <v>0</v>
      </c>
      <c r="I148" s="10">
        <v>0</v>
      </c>
      <c r="J148" s="10">
        <v>0</v>
      </c>
      <c r="K148" t="s">
        <v>56</v>
      </c>
    </row>
    <row r="149" spans="1:11" ht="30" x14ac:dyDescent="0.25">
      <c r="A149" s="11" t="s">
        <v>275</v>
      </c>
      <c r="B149" s="6">
        <v>348796.2</v>
      </c>
      <c r="C149" s="6">
        <v>348796.2</v>
      </c>
      <c r="D149" s="6">
        <v>0</v>
      </c>
      <c r="E149" s="6">
        <v>0</v>
      </c>
      <c r="F149" s="6">
        <v>0</v>
      </c>
      <c r="G149" s="7">
        <v>0</v>
      </c>
      <c r="H149" s="10">
        <v>0</v>
      </c>
      <c r="I149" s="10">
        <v>0</v>
      </c>
      <c r="J149" s="10">
        <v>0</v>
      </c>
      <c r="K149" t="s">
        <v>56</v>
      </c>
    </row>
    <row r="150" spans="1:11" ht="30" x14ac:dyDescent="0.25">
      <c r="A150" s="11" t="s">
        <v>274</v>
      </c>
      <c r="B150" s="6">
        <v>15185</v>
      </c>
      <c r="C150" s="6">
        <v>15185</v>
      </c>
      <c r="D150" s="6">
        <v>0</v>
      </c>
      <c r="E150" s="6">
        <v>15185</v>
      </c>
      <c r="F150" s="6">
        <v>15185</v>
      </c>
      <c r="G150" s="7">
        <v>1</v>
      </c>
      <c r="H150" s="10">
        <v>1</v>
      </c>
      <c r="I150" s="10">
        <v>1</v>
      </c>
      <c r="J150" s="10">
        <v>1</v>
      </c>
      <c r="K150" t="s">
        <v>56</v>
      </c>
    </row>
    <row r="151" spans="1:11" ht="30" x14ac:dyDescent="0.25">
      <c r="A151" s="11" t="s">
        <v>273</v>
      </c>
      <c r="B151" s="6">
        <v>88500</v>
      </c>
      <c r="C151" s="6">
        <v>88500</v>
      </c>
      <c r="D151" s="6">
        <v>0</v>
      </c>
      <c r="E151" s="6">
        <v>0</v>
      </c>
      <c r="F151" s="6">
        <v>0</v>
      </c>
      <c r="G151" s="7">
        <v>0</v>
      </c>
      <c r="H151" s="10">
        <v>0</v>
      </c>
      <c r="I151" s="10">
        <v>0</v>
      </c>
      <c r="J151" s="10">
        <v>0</v>
      </c>
      <c r="K151" t="s">
        <v>56</v>
      </c>
    </row>
    <row r="152" spans="1:11" ht="30" x14ac:dyDescent="0.25">
      <c r="A152" s="11" t="s">
        <v>272</v>
      </c>
      <c r="B152" s="6">
        <v>79591</v>
      </c>
      <c r="C152" s="6">
        <v>79591</v>
      </c>
      <c r="D152" s="6">
        <v>0</v>
      </c>
      <c r="E152" s="6">
        <v>79591</v>
      </c>
      <c r="F152" s="6">
        <v>79591</v>
      </c>
      <c r="G152" s="7">
        <v>1</v>
      </c>
      <c r="H152" s="10">
        <v>1</v>
      </c>
      <c r="I152" s="10">
        <v>1</v>
      </c>
      <c r="J152" s="10">
        <v>1</v>
      </c>
      <c r="K152" t="s">
        <v>56</v>
      </c>
    </row>
    <row r="153" spans="1:11" ht="30" x14ac:dyDescent="0.25">
      <c r="A153" s="11" t="s">
        <v>271</v>
      </c>
      <c r="B153" s="6">
        <v>299714.09999999998</v>
      </c>
      <c r="C153" s="6">
        <v>299714.09999999998</v>
      </c>
      <c r="D153" s="6">
        <v>0</v>
      </c>
      <c r="E153" s="6">
        <v>0</v>
      </c>
      <c r="F153" s="6">
        <v>0</v>
      </c>
      <c r="G153" s="7">
        <v>0</v>
      </c>
      <c r="H153" s="10">
        <v>0</v>
      </c>
      <c r="I153" s="10">
        <v>0</v>
      </c>
      <c r="J153" s="10">
        <v>0</v>
      </c>
      <c r="K153" t="s">
        <v>56</v>
      </c>
    </row>
    <row r="154" spans="1:11" ht="30" x14ac:dyDescent="0.25">
      <c r="A154" s="11" t="s">
        <v>270</v>
      </c>
      <c r="B154" s="6">
        <v>5604000</v>
      </c>
      <c r="C154" s="6">
        <v>5604000</v>
      </c>
      <c r="D154" s="6">
        <v>0</v>
      </c>
      <c r="E154" s="6">
        <v>0</v>
      </c>
      <c r="F154" s="6">
        <v>0</v>
      </c>
      <c r="G154" s="7">
        <v>0</v>
      </c>
      <c r="H154" s="10">
        <v>0</v>
      </c>
      <c r="I154" s="10">
        <v>0</v>
      </c>
      <c r="J154" s="10">
        <v>0</v>
      </c>
      <c r="K154" t="s">
        <v>109</v>
      </c>
    </row>
    <row r="155" spans="1:11" x14ac:dyDescent="0.25">
      <c r="A155" s="11" t="s">
        <v>269</v>
      </c>
      <c r="B155" s="6">
        <v>150000</v>
      </c>
      <c r="C155" s="6">
        <v>150000</v>
      </c>
      <c r="D155" s="6">
        <v>0</v>
      </c>
      <c r="E155" s="6">
        <v>0</v>
      </c>
      <c r="F155" s="6">
        <v>0</v>
      </c>
      <c r="G155" s="7">
        <v>0</v>
      </c>
      <c r="H155" s="10">
        <v>0</v>
      </c>
      <c r="I155" s="10">
        <v>0</v>
      </c>
      <c r="J155" s="10">
        <v>0</v>
      </c>
      <c r="K155" t="s">
        <v>109</v>
      </c>
    </row>
    <row r="156" spans="1:11" ht="30" x14ac:dyDescent="0.25">
      <c r="A156" s="11" t="s">
        <v>268</v>
      </c>
      <c r="B156" s="6">
        <v>2596000</v>
      </c>
      <c r="C156" s="6">
        <v>2596000</v>
      </c>
      <c r="D156" s="6">
        <v>0</v>
      </c>
      <c r="E156" s="6">
        <v>0</v>
      </c>
      <c r="F156" s="6">
        <v>0</v>
      </c>
      <c r="G156" s="7">
        <v>0</v>
      </c>
      <c r="H156" s="10">
        <v>0</v>
      </c>
      <c r="I156" s="10">
        <v>0</v>
      </c>
      <c r="J156" s="10">
        <v>0</v>
      </c>
      <c r="K156" t="s">
        <v>109</v>
      </c>
    </row>
    <row r="157" spans="1:11" ht="30" x14ac:dyDescent="0.25">
      <c r="A157" s="11" t="s">
        <v>267</v>
      </c>
      <c r="B157" s="6">
        <v>1971250</v>
      </c>
      <c r="C157" s="6">
        <v>1971250</v>
      </c>
      <c r="D157" s="6">
        <v>0</v>
      </c>
      <c r="E157" s="6">
        <v>1971250</v>
      </c>
      <c r="F157" s="6">
        <v>1971250</v>
      </c>
      <c r="G157" s="7">
        <v>1</v>
      </c>
      <c r="H157" s="10">
        <v>1</v>
      </c>
      <c r="I157" s="10">
        <v>1</v>
      </c>
      <c r="J157" s="10">
        <v>1</v>
      </c>
      <c r="K157" t="s">
        <v>71</v>
      </c>
    </row>
    <row r="158" spans="1:11" ht="30" x14ac:dyDescent="0.25">
      <c r="A158" s="11" t="s">
        <v>266</v>
      </c>
      <c r="B158" s="6">
        <v>150000</v>
      </c>
      <c r="C158" s="6">
        <v>150000</v>
      </c>
      <c r="D158" s="6">
        <v>0</v>
      </c>
      <c r="E158" s="6">
        <v>150000</v>
      </c>
      <c r="F158" s="6">
        <v>150000</v>
      </c>
      <c r="G158" s="7">
        <v>1</v>
      </c>
      <c r="H158" s="10">
        <v>1</v>
      </c>
      <c r="I158" s="10">
        <v>1</v>
      </c>
      <c r="J158" s="10">
        <v>1</v>
      </c>
      <c r="K158" t="s">
        <v>66</v>
      </c>
    </row>
    <row r="159" spans="1:11" ht="30" x14ac:dyDescent="0.25">
      <c r="A159" s="11" t="s">
        <v>265</v>
      </c>
      <c r="B159" s="6">
        <v>40384</v>
      </c>
      <c r="C159" s="6">
        <v>40384</v>
      </c>
      <c r="D159" s="6">
        <v>0</v>
      </c>
      <c r="E159" s="6">
        <v>40384</v>
      </c>
      <c r="F159" s="6">
        <v>40384</v>
      </c>
      <c r="G159" s="7">
        <v>1</v>
      </c>
      <c r="H159" s="10">
        <v>1</v>
      </c>
      <c r="I159" s="10">
        <v>1</v>
      </c>
      <c r="J159" s="10">
        <v>1</v>
      </c>
      <c r="K159" t="s">
        <v>66</v>
      </c>
    </row>
    <row r="160" spans="1:11" x14ac:dyDescent="0.25">
      <c r="B160" s="6">
        <f>SUBTOTAL(109,Table120[Toplam Yıl Ödeneği])</f>
        <v>95101754.49000001</v>
      </c>
      <c r="C160" s="6">
        <f>SUBTOTAL(109,Table120[Toplam Proje Tutarı])</f>
        <v>113294616.49000001</v>
      </c>
      <c r="D160" s="6">
        <f>SUBTOTAL(109,Table120[Önceki Yıllar Toplam Harcaması])</f>
        <v>4029899</v>
      </c>
      <c r="E160" s="6">
        <f>SUBTOTAL(109,Table120[Yılı Harcama Tutarı])</f>
        <v>31508168.860000003</v>
      </c>
      <c r="F160" s="6">
        <f>SUBTOTAL(109,Table120[Toplam Harcama Tutarı])</f>
        <v>35538067.859999999</v>
      </c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sqref="A1:K1"/>
    </sheetView>
  </sheetViews>
  <sheetFormatPr defaultRowHeight="15" x14ac:dyDescent="0.25"/>
  <cols>
    <col min="1" max="1" width="36.85546875" customWidth="1"/>
  </cols>
  <sheetData>
    <row r="1" spans="1:11" x14ac:dyDescent="0.25">
      <c r="A1" s="17" t="s">
        <v>423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75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1" ht="30" x14ac:dyDescent="0.25">
      <c r="A4" s="11" t="s">
        <v>422</v>
      </c>
      <c r="B4" s="6">
        <v>76700</v>
      </c>
      <c r="C4" s="6">
        <v>76700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</v>
      </c>
      <c r="K4" t="s">
        <v>56</v>
      </c>
    </row>
    <row r="5" spans="1:11" x14ac:dyDescent="0.25">
      <c r="A5" t="s">
        <v>421</v>
      </c>
      <c r="B5" s="6">
        <v>2944100</v>
      </c>
      <c r="C5" s="6">
        <v>2944100</v>
      </c>
      <c r="D5" s="6">
        <v>0</v>
      </c>
      <c r="E5" s="6">
        <v>0</v>
      </c>
      <c r="F5" s="6">
        <v>0</v>
      </c>
      <c r="G5" s="7">
        <v>0</v>
      </c>
      <c r="H5" s="10">
        <v>0</v>
      </c>
      <c r="I5" s="10">
        <v>0</v>
      </c>
      <c r="J5" s="10">
        <v>0</v>
      </c>
      <c r="K5" t="s">
        <v>56</v>
      </c>
    </row>
    <row r="6" spans="1:11" x14ac:dyDescent="0.25">
      <c r="B6" s="6">
        <f>SUBTOTAL(109,Table122[Toplam Yıl Ödeneği])</f>
        <v>3020800</v>
      </c>
      <c r="C6" s="6">
        <f>SUBTOTAL(109,Table122[Toplam Proje Tutarı])</f>
        <v>3020800</v>
      </c>
      <c r="D6" s="6">
        <f>SUBTOTAL(109,Table122[Önceki Yıllar Toplam Harcaması])</f>
        <v>0</v>
      </c>
      <c r="E6" s="6">
        <f>SUBTOTAL(109,Table122[Yılı Harcama Tutarı])</f>
        <v>0</v>
      </c>
      <c r="F6" s="6">
        <f>SUBTOTAL(109,Table122[Toplam Harcama Tutarı])</f>
        <v>0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G16" sqref="G15:G16"/>
    </sheetView>
  </sheetViews>
  <sheetFormatPr defaultRowHeight="15" x14ac:dyDescent="0.25"/>
  <cols>
    <col min="1" max="1" width="30" customWidth="1"/>
    <col min="2" max="2" width="12" customWidth="1"/>
    <col min="3" max="3" width="11.42578125" customWidth="1"/>
  </cols>
  <sheetData>
    <row r="1" spans="1:12" x14ac:dyDescent="0.25">
      <c r="A1" s="15" t="s">
        <v>425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A3" t="s">
        <v>37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54</v>
      </c>
    </row>
    <row r="4" spans="1:12" x14ac:dyDescent="0.25">
      <c r="A4" t="s">
        <v>424</v>
      </c>
      <c r="B4" s="6">
        <v>36749473</v>
      </c>
      <c r="C4" s="6">
        <v>189326000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</v>
      </c>
      <c r="K4" t="s">
        <v>56</v>
      </c>
    </row>
    <row r="5" spans="1:12" x14ac:dyDescent="0.25">
      <c r="B5" s="6">
        <f>SUBTOTAL(109,Table123[Toplam Yıl Ödeneği])</f>
        <v>36749473</v>
      </c>
      <c r="C5" s="6">
        <f>SUBTOTAL(109,Table123[Toplam Proje Tutarı])</f>
        <v>189326000</v>
      </c>
      <c r="D5" s="6">
        <f>SUBTOTAL(109,Table123[Önceki Yıllar Toplam Harcaması])</f>
        <v>0</v>
      </c>
      <c r="E5" s="6">
        <f>SUBTOTAL(109,Table123[Yılı Harcama Tutarı])</f>
        <v>0</v>
      </c>
      <c r="F5" s="6">
        <f>SUBTOTAL(109,Table123[Toplam Harcama Tutarı])</f>
        <v>0</v>
      </c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F15" sqref="F15"/>
    </sheetView>
  </sheetViews>
  <sheetFormatPr defaultRowHeight="15" x14ac:dyDescent="0.25"/>
  <cols>
    <col min="1" max="1" width="41.42578125" customWidth="1"/>
    <col min="2" max="2" width="12.140625" customWidth="1"/>
    <col min="3" max="3" width="11" customWidth="1"/>
    <col min="4" max="4" width="11.85546875" customWidth="1"/>
    <col min="6" max="6" width="12.5703125" customWidth="1"/>
    <col min="11" max="11" width="12.85546875" customWidth="1"/>
  </cols>
  <sheetData>
    <row r="1" spans="1:12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63" customHeight="1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46.5" customHeight="1" x14ac:dyDescent="0.25">
      <c r="A4" s="11" t="s">
        <v>55</v>
      </c>
      <c r="B4" s="6">
        <v>200000</v>
      </c>
      <c r="C4" s="6">
        <v>200000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</v>
      </c>
      <c r="K4" t="s">
        <v>56</v>
      </c>
    </row>
    <row r="5" spans="1:12" ht="35.25" customHeight="1" x14ac:dyDescent="0.25">
      <c r="A5" s="11" t="s">
        <v>57</v>
      </c>
      <c r="B5" s="6">
        <v>100000</v>
      </c>
      <c r="C5" s="6">
        <v>100000</v>
      </c>
      <c r="D5" s="6">
        <v>0</v>
      </c>
      <c r="E5" s="6">
        <v>0</v>
      </c>
      <c r="F5" s="6">
        <v>0</v>
      </c>
      <c r="G5" s="7">
        <v>0</v>
      </c>
      <c r="H5" s="10">
        <v>0</v>
      </c>
      <c r="I5" s="10">
        <v>0</v>
      </c>
      <c r="J5" s="10">
        <v>0</v>
      </c>
      <c r="K5" t="s">
        <v>56</v>
      </c>
    </row>
    <row r="6" spans="1:12" ht="46.5" customHeight="1" x14ac:dyDescent="0.25">
      <c r="A6" s="11" t="s">
        <v>58</v>
      </c>
      <c r="B6" s="6">
        <v>0</v>
      </c>
      <c r="C6" s="6">
        <v>0.01</v>
      </c>
      <c r="D6" s="6">
        <v>0</v>
      </c>
      <c r="E6" s="6">
        <v>0</v>
      </c>
      <c r="F6" s="6">
        <v>0</v>
      </c>
      <c r="G6" s="7">
        <v>0</v>
      </c>
      <c r="H6" s="10">
        <v>0</v>
      </c>
      <c r="I6" s="10">
        <v>0</v>
      </c>
      <c r="J6" s="10">
        <v>1</v>
      </c>
      <c r="K6" t="s">
        <v>56</v>
      </c>
    </row>
    <row r="7" spans="1:12" ht="46.5" customHeight="1" x14ac:dyDescent="0.25">
      <c r="A7" s="11" t="s">
        <v>59</v>
      </c>
      <c r="B7" s="6">
        <v>20000000</v>
      </c>
      <c r="C7" s="6">
        <v>49400000</v>
      </c>
      <c r="D7" s="6">
        <v>18069840.280000001</v>
      </c>
      <c r="E7" s="6">
        <v>533762.96</v>
      </c>
      <c r="F7" s="6">
        <v>18603603.239999998</v>
      </c>
      <c r="G7" s="7">
        <v>0.37659115870445298</v>
      </c>
      <c r="H7" s="10">
        <v>2.6688147999999998E-2</v>
      </c>
      <c r="I7" s="10">
        <v>2.6688147999999998E-2</v>
      </c>
      <c r="J7" s="10">
        <v>0.25</v>
      </c>
      <c r="K7" t="s">
        <v>56</v>
      </c>
    </row>
    <row r="8" spans="1:12" ht="46.5" customHeight="1" x14ac:dyDescent="0.25">
      <c r="A8" s="11" t="s">
        <v>60</v>
      </c>
      <c r="B8" s="6">
        <v>2000</v>
      </c>
      <c r="C8" s="6">
        <v>21240000</v>
      </c>
      <c r="D8" s="6">
        <v>0</v>
      </c>
      <c r="E8" s="6">
        <v>0</v>
      </c>
      <c r="F8" s="6">
        <v>0</v>
      </c>
      <c r="G8" s="7">
        <v>0</v>
      </c>
      <c r="H8" s="10">
        <v>0</v>
      </c>
      <c r="I8" s="10">
        <v>0</v>
      </c>
      <c r="J8" s="10">
        <v>0.03</v>
      </c>
      <c r="K8" t="s">
        <v>56</v>
      </c>
    </row>
    <row r="9" spans="1:12" ht="46.5" customHeight="1" x14ac:dyDescent="0.25">
      <c r="A9" s="11" t="s">
        <v>61</v>
      </c>
      <c r="B9" s="6">
        <v>4500000</v>
      </c>
      <c r="C9" s="6">
        <v>12000000</v>
      </c>
      <c r="D9" s="6">
        <v>4245021.41</v>
      </c>
      <c r="E9" s="6">
        <v>1073426.51</v>
      </c>
      <c r="F9" s="6">
        <v>5318447.92</v>
      </c>
      <c r="G9" s="7">
        <v>0.44320399333333299</v>
      </c>
      <c r="H9" s="10">
        <v>0.199207295555556</v>
      </c>
      <c r="I9" s="10">
        <v>0.238539224444444</v>
      </c>
      <c r="J9" s="10">
        <v>0.64</v>
      </c>
      <c r="K9" t="s">
        <v>56</v>
      </c>
    </row>
    <row r="10" spans="1:12" ht="46.5" customHeight="1" x14ac:dyDescent="0.25">
      <c r="A10" s="11" t="s">
        <v>62</v>
      </c>
      <c r="B10" s="6">
        <v>6498000</v>
      </c>
      <c r="C10" s="6">
        <v>6498000</v>
      </c>
      <c r="D10" s="6">
        <v>0</v>
      </c>
      <c r="E10" s="6">
        <v>2866043.85</v>
      </c>
      <c r="F10" s="6">
        <v>2866043.85</v>
      </c>
      <c r="G10" s="7">
        <v>0.44106553554939998</v>
      </c>
      <c r="H10" s="10">
        <v>0.21367722683902701</v>
      </c>
      <c r="I10" s="10">
        <v>0.44106553554939998</v>
      </c>
      <c r="J10" s="10">
        <v>0.44</v>
      </c>
      <c r="K10" t="s">
        <v>56</v>
      </c>
    </row>
    <row r="11" spans="1:12" ht="46.5" customHeight="1" x14ac:dyDescent="0.25">
      <c r="A11" s="11" t="s">
        <v>63</v>
      </c>
      <c r="B11" s="6">
        <v>2000</v>
      </c>
      <c r="C11" s="6">
        <v>5000000</v>
      </c>
      <c r="D11" s="6">
        <v>0</v>
      </c>
      <c r="E11" s="6">
        <v>0</v>
      </c>
      <c r="F11" s="6">
        <v>0</v>
      </c>
      <c r="G11" s="7">
        <v>0</v>
      </c>
      <c r="H11" s="10">
        <v>0</v>
      </c>
      <c r="I11" s="10">
        <v>0</v>
      </c>
      <c r="J11" s="10">
        <v>1</v>
      </c>
      <c r="K11" t="s">
        <v>56</v>
      </c>
    </row>
    <row r="12" spans="1:12" ht="46.5" customHeight="1" x14ac:dyDescent="0.25">
      <c r="A12" s="11" t="s">
        <v>64</v>
      </c>
      <c r="B12" s="6">
        <v>752000</v>
      </c>
      <c r="C12" s="6">
        <v>752000</v>
      </c>
      <c r="D12" s="6">
        <v>0</v>
      </c>
      <c r="E12" s="6">
        <v>395811.14</v>
      </c>
      <c r="F12" s="6">
        <v>395811.14</v>
      </c>
      <c r="G12" s="7">
        <v>0.52634460106382996</v>
      </c>
      <c r="H12" s="10">
        <v>0.117906914893617</v>
      </c>
      <c r="I12" s="10">
        <v>0.52634460106382996</v>
      </c>
      <c r="J12" s="10">
        <v>0.52</v>
      </c>
      <c r="K12" t="s">
        <v>56</v>
      </c>
    </row>
    <row r="13" spans="1:12" ht="46.5" customHeight="1" x14ac:dyDescent="0.25">
      <c r="B13" s="6">
        <f>SUBTOTAL(109,Table16[Toplam Yıl Ödeneği])</f>
        <v>32054000</v>
      </c>
      <c r="C13" s="6">
        <f>SUBTOTAL(109,Table16[Toplam Proje Tutarı])</f>
        <v>95190000.00999999</v>
      </c>
      <c r="D13" s="6">
        <f>SUBTOTAL(109,Table16[Önceki Yıllar Toplam Harcaması])</f>
        <v>22314861.690000001</v>
      </c>
      <c r="E13" s="6">
        <f>SUBTOTAL(109,Table16[Yılı Harcama Tutarı])</f>
        <v>4869044.46</v>
      </c>
      <c r="F13" s="6">
        <f>SUBTOTAL(109,Table16[Toplam Harcama Tutarı])</f>
        <v>27183906.149999999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7" sqref="A7:K7"/>
    </sheetView>
  </sheetViews>
  <sheetFormatPr defaultRowHeight="15" x14ac:dyDescent="0.25"/>
  <cols>
    <col min="1" max="1" width="24.140625" customWidth="1"/>
    <col min="2" max="2" width="13.140625" customWidth="1"/>
    <col min="3" max="3" width="15" customWidth="1"/>
    <col min="4" max="4" width="11.5703125" customWidth="1"/>
    <col min="6" max="6" width="11.85546875" customWidth="1"/>
  </cols>
  <sheetData>
    <row r="1" spans="1:12" x14ac:dyDescent="0.2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42" customHeight="1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41.25" customHeight="1" x14ac:dyDescent="0.25">
      <c r="A4" s="11" t="s">
        <v>65</v>
      </c>
      <c r="B4" s="6">
        <v>8316210.3200000003</v>
      </c>
      <c r="C4" s="6">
        <v>14987323.02</v>
      </c>
      <c r="D4" s="6">
        <v>0</v>
      </c>
      <c r="E4" s="6">
        <v>2585142.5299999998</v>
      </c>
      <c r="F4" s="6">
        <v>2585142.5299999998</v>
      </c>
      <c r="G4" s="7">
        <v>0.172488610978106</v>
      </c>
      <c r="H4" s="10">
        <v>0</v>
      </c>
      <c r="I4" s="10">
        <v>0.31085583823954999</v>
      </c>
      <c r="J4" s="10">
        <v>0.18</v>
      </c>
      <c r="K4" t="s">
        <v>66</v>
      </c>
    </row>
    <row r="5" spans="1:12" ht="45.75" customHeight="1" x14ac:dyDescent="0.25">
      <c r="A5" s="11" t="s">
        <v>67</v>
      </c>
      <c r="B5" s="6">
        <v>2435784.36</v>
      </c>
      <c r="C5" s="6">
        <v>4910134.72</v>
      </c>
      <c r="D5" s="6">
        <v>1349424.7</v>
      </c>
      <c r="E5" s="6">
        <v>1889389.66</v>
      </c>
      <c r="F5" s="6">
        <v>3238814.36</v>
      </c>
      <c r="G5" s="7">
        <v>0.659618227338577</v>
      </c>
      <c r="H5" s="10">
        <v>0.31773377919217799</v>
      </c>
      <c r="I5" s="10">
        <v>0.77568018377456005</v>
      </c>
      <c r="J5" s="10">
        <v>0.7</v>
      </c>
      <c r="K5" t="s">
        <v>56</v>
      </c>
    </row>
    <row r="6" spans="1:12" ht="28.5" customHeight="1" x14ac:dyDescent="0.25">
      <c r="A6" s="11" t="s">
        <v>68</v>
      </c>
      <c r="B6" s="6">
        <v>0</v>
      </c>
      <c r="C6" s="6">
        <v>3927124.96</v>
      </c>
      <c r="D6" s="6">
        <v>3294212.5</v>
      </c>
      <c r="E6" s="6">
        <v>0</v>
      </c>
      <c r="F6" s="6">
        <v>3294212.5</v>
      </c>
      <c r="G6" s="7">
        <v>0.83883567076510901</v>
      </c>
      <c r="H6" s="10">
        <v>0</v>
      </c>
      <c r="I6" s="10">
        <v>0</v>
      </c>
      <c r="J6" s="10">
        <v>1</v>
      </c>
      <c r="K6" t="s">
        <v>69</v>
      </c>
    </row>
    <row r="7" spans="1:12" ht="63.75" customHeight="1" x14ac:dyDescent="0.25">
      <c r="A7" s="11" t="s">
        <v>70</v>
      </c>
      <c r="B7" s="6">
        <v>6894939.9100000001</v>
      </c>
      <c r="C7" s="6">
        <v>16776060</v>
      </c>
      <c r="D7" s="6">
        <v>9800821.9499999993</v>
      </c>
      <c r="E7" s="6">
        <v>976897.63</v>
      </c>
      <c r="F7" s="6">
        <v>10777719.58</v>
      </c>
      <c r="G7" s="7">
        <v>0.64244641352021903</v>
      </c>
      <c r="H7" s="10">
        <v>3.3902978568525297E-2</v>
      </c>
      <c r="I7" s="10">
        <v>0.14168326957906699</v>
      </c>
      <c r="J7" s="10">
        <v>0.75</v>
      </c>
      <c r="K7" t="s">
        <v>71</v>
      </c>
    </row>
    <row r="8" spans="1:12" ht="41.25" customHeight="1" x14ac:dyDescent="0.25">
      <c r="A8" s="11" t="s">
        <v>72</v>
      </c>
      <c r="B8" s="6">
        <v>3866237.04</v>
      </c>
      <c r="C8" s="6">
        <v>10618820</v>
      </c>
      <c r="D8" s="6">
        <v>6701563.1900000004</v>
      </c>
      <c r="E8" s="6">
        <v>2226799.67</v>
      </c>
      <c r="F8" s="6">
        <v>8928362.8599999994</v>
      </c>
      <c r="G8" s="7">
        <v>0.84080555654959799</v>
      </c>
      <c r="H8" s="10">
        <v>0.30430588911848</v>
      </c>
      <c r="I8" s="10">
        <v>0.57596046154479996</v>
      </c>
      <c r="J8" s="10">
        <v>0.85</v>
      </c>
      <c r="K8" t="s">
        <v>66</v>
      </c>
    </row>
    <row r="9" spans="1:12" x14ac:dyDescent="0.25">
      <c r="B9" s="6">
        <f>SUBTOTAL(109,Table13[Toplam Yıl Ödeneği])</f>
        <v>21513171.629999999</v>
      </c>
      <c r="C9" s="6">
        <f>SUBTOTAL(109,Table13[Toplam Proje Tutarı])</f>
        <v>51219462.700000003</v>
      </c>
      <c r="D9" s="6">
        <f>SUBTOTAL(109,Table13[Önceki Yıllar Toplam Harcaması])</f>
        <v>21146022.34</v>
      </c>
      <c r="E9" s="6">
        <f>SUBTOTAL(109,Table13[Yılı Harcama Tutarı])</f>
        <v>7678229.4899999993</v>
      </c>
      <c r="F9" s="6">
        <f>SUBTOTAL(109,Table13[Toplam Harcama Tutarı])</f>
        <v>28824251.829999998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L9" sqref="L9"/>
    </sheetView>
  </sheetViews>
  <sheetFormatPr defaultRowHeight="15" x14ac:dyDescent="0.25"/>
  <cols>
    <col min="1" max="1" width="25.28515625" customWidth="1"/>
    <col min="3" max="3" width="12.28515625" customWidth="1"/>
  </cols>
  <sheetData>
    <row r="1" spans="1:12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75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x14ac:dyDescent="0.25">
      <c r="A4" s="11" t="s">
        <v>73</v>
      </c>
      <c r="B4" s="6">
        <v>2000</v>
      </c>
      <c r="C4" s="6">
        <v>30000000</v>
      </c>
      <c r="D4" s="6"/>
      <c r="E4" s="6">
        <v>0</v>
      </c>
      <c r="F4" s="6">
        <v>0</v>
      </c>
      <c r="G4" s="7">
        <v>6.6666666666666697E-5</v>
      </c>
      <c r="H4" s="10">
        <v>0</v>
      </c>
      <c r="I4" s="10">
        <v>0</v>
      </c>
      <c r="J4" s="10">
        <v>0</v>
      </c>
      <c r="K4" t="s">
        <v>74</v>
      </c>
    </row>
    <row r="5" spans="1:12" ht="33" customHeight="1" x14ac:dyDescent="0.25">
      <c r="A5" s="11" t="s">
        <v>75</v>
      </c>
      <c r="B5" s="6">
        <v>500000</v>
      </c>
      <c r="C5" s="6">
        <v>2400000</v>
      </c>
      <c r="D5" s="6">
        <v>27000</v>
      </c>
      <c r="E5" s="6">
        <v>0</v>
      </c>
      <c r="F5" s="6">
        <v>27000</v>
      </c>
      <c r="G5" s="7">
        <v>2.0833333333333301E-2</v>
      </c>
      <c r="H5" s="10">
        <v>0</v>
      </c>
      <c r="I5" s="10">
        <v>0</v>
      </c>
      <c r="J5" s="10">
        <v>0</v>
      </c>
      <c r="K5" t="s">
        <v>56</v>
      </c>
    </row>
    <row r="6" spans="1:12" x14ac:dyDescent="0.25">
      <c r="B6" s="6">
        <f>SUBTOTAL(109,Table15[Toplam Yıl Ödeneği])</f>
        <v>502000</v>
      </c>
      <c r="C6" s="6">
        <f>SUBTOTAL(109,Table15[Toplam Proje Tutarı])</f>
        <v>32400000</v>
      </c>
      <c r="D6" s="6">
        <f>SUBTOTAL(109,Table15[Önceki Yıllar Toplam Harcaması])</f>
        <v>27000</v>
      </c>
      <c r="E6" s="6">
        <f>SUBTOTAL(109,Table15[Yılı Harcama Tutarı])</f>
        <v>0</v>
      </c>
      <c r="F6" s="6">
        <f>SUBTOTAL(109,Table15[Toplam Harcama Tutarı])</f>
        <v>27000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N9" sqref="N9"/>
    </sheetView>
  </sheetViews>
  <sheetFormatPr defaultRowHeight="15" x14ac:dyDescent="0.25"/>
  <cols>
    <col min="1" max="1" width="39.140625" customWidth="1"/>
  </cols>
  <sheetData>
    <row r="1" spans="1:12" x14ac:dyDescent="0.25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75" x14ac:dyDescent="0.25">
      <c r="A3" s="11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57.75" customHeight="1" x14ac:dyDescent="0.25">
      <c r="A4" s="11" t="s">
        <v>77</v>
      </c>
      <c r="B4" s="6">
        <v>162840</v>
      </c>
      <c r="C4" s="6">
        <v>162840</v>
      </c>
      <c r="D4" s="6">
        <v>0</v>
      </c>
      <c r="E4" s="6">
        <v>162840</v>
      </c>
      <c r="F4" s="6">
        <v>162840</v>
      </c>
      <c r="G4" s="7">
        <v>1</v>
      </c>
      <c r="H4" s="10">
        <v>1</v>
      </c>
      <c r="I4" s="10">
        <v>1</v>
      </c>
      <c r="J4" s="10">
        <v>1</v>
      </c>
      <c r="K4" t="s">
        <v>78</v>
      </c>
    </row>
    <row r="5" spans="1:12" ht="50.25" customHeight="1" x14ac:dyDescent="0.25">
      <c r="A5" s="11" t="s">
        <v>79</v>
      </c>
      <c r="B5" s="6">
        <v>138600</v>
      </c>
      <c r="C5" s="6">
        <v>138600</v>
      </c>
      <c r="D5" s="6">
        <v>0</v>
      </c>
      <c r="E5" s="6">
        <v>138600</v>
      </c>
      <c r="F5" s="6">
        <v>138600</v>
      </c>
      <c r="G5" s="7">
        <v>1</v>
      </c>
      <c r="H5" s="10">
        <v>1</v>
      </c>
      <c r="I5" s="10">
        <v>1</v>
      </c>
      <c r="J5" s="10">
        <v>1</v>
      </c>
      <c r="K5" t="s">
        <v>80</v>
      </c>
    </row>
    <row r="6" spans="1:12" x14ac:dyDescent="0.25">
      <c r="B6" s="6">
        <f>SUBTOTAL(109,Table17[Toplam Yıl Ödeneği])</f>
        <v>301440</v>
      </c>
      <c r="C6" s="6">
        <f>SUBTOTAL(109,Table17[Toplam Proje Tutarı])</f>
        <v>301440</v>
      </c>
      <c r="D6" s="6">
        <f>SUBTOTAL(109,Table17[Önceki Yıllar Toplam Harcaması])</f>
        <v>0</v>
      </c>
      <c r="E6" s="6">
        <f>SUBTOTAL(109,Table17[Yılı Harcama Tutarı])</f>
        <v>301440</v>
      </c>
      <c r="F6" s="6">
        <f>SUBTOTAL(109,Table17[Toplam Harcama Tutarı])</f>
        <v>301440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6" sqref="K46"/>
    </sheetView>
  </sheetViews>
  <sheetFormatPr defaultRowHeight="15" x14ac:dyDescent="0.25"/>
  <cols>
    <col min="1" max="1" width="29.42578125" customWidth="1"/>
    <col min="2" max="2" width="12.42578125" customWidth="1"/>
    <col min="3" max="3" width="15.85546875" customWidth="1"/>
    <col min="4" max="4" width="13.42578125" customWidth="1"/>
    <col min="5" max="5" width="12.7109375" customWidth="1"/>
    <col min="6" max="6" width="12.42578125" customWidth="1"/>
  </cols>
  <sheetData>
    <row r="1" spans="1:12" x14ac:dyDescent="0.25">
      <c r="A1" s="15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42" customHeight="1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42" customHeight="1" x14ac:dyDescent="0.25">
      <c r="A4" s="11" t="s">
        <v>82</v>
      </c>
      <c r="B4" s="6">
        <v>1</v>
      </c>
      <c r="C4" s="6">
        <v>1000000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</v>
      </c>
      <c r="K4" t="s">
        <v>56</v>
      </c>
    </row>
    <row r="5" spans="1:12" ht="42" customHeight="1" x14ac:dyDescent="0.25">
      <c r="A5" s="11" t="s">
        <v>83</v>
      </c>
      <c r="B5" s="6">
        <v>16000000</v>
      </c>
      <c r="C5" s="6">
        <v>229529544</v>
      </c>
      <c r="D5" s="6">
        <v>21498876</v>
      </c>
      <c r="E5" s="6">
        <v>12013183</v>
      </c>
      <c r="F5" s="6">
        <v>33512059</v>
      </c>
      <c r="G5" s="7">
        <v>0.14600324827901001</v>
      </c>
      <c r="H5" s="10">
        <v>0.32898468749999998</v>
      </c>
      <c r="I5" s="10">
        <v>0.75082393749999998</v>
      </c>
      <c r="J5" s="10">
        <v>0.24</v>
      </c>
      <c r="K5" t="s">
        <v>56</v>
      </c>
    </row>
    <row r="6" spans="1:12" ht="42" customHeight="1" x14ac:dyDescent="0.25">
      <c r="A6" s="11" t="s">
        <v>84</v>
      </c>
      <c r="B6" s="6">
        <v>0</v>
      </c>
      <c r="C6" s="6">
        <v>25000000</v>
      </c>
      <c r="D6" s="6">
        <v>0</v>
      </c>
      <c r="E6" s="6">
        <v>0</v>
      </c>
      <c r="F6" s="6">
        <v>0</v>
      </c>
      <c r="G6" s="7">
        <v>0</v>
      </c>
      <c r="H6" s="10">
        <v>0</v>
      </c>
      <c r="I6" s="10">
        <v>0</v>
      </c>
      <c r="J6" s="10">
        <v>0</v>
      </c>
      <c r="K6" t="s">
        <v>56</v>
      </c>
    </row>
    <row r="7" spans="1:12" ht="42" customHeight="1" x14ac:dyDescent="0.25">
      <c r="A7" s="11" t="s">
        <v>85</v>
      </c>
      <c r="B7" s="6">
        <v>11000000</v>
      </c>
      <c r="C7" s="6">
        <v>112376340</v>
      </c>
      <c r="D7" s="6">
        <v>10209402</v>
      </c>
      <c r="E7" s="6">
        <v>2231171</v>
      </c>
      <c r="F7" s="6">
        <v>12440573</v>
      </c>
      <c r="G7" s="7">
        <v>0.110704557560782</v>
      </c>
      <c r="H7" s="10">
        <v>0.202833727272727</v>
      </c>
      <c r="I7" s="10">
        <v>0.202833727272727</v>
      </c>
      <c r="J7" s="10">
        <v>0.26</v>
      </c>
      <c r="K7" t="s">
        <v>86</v>
      </c>
    </row>
    <row r="8" spans="1:12" ht="42" customHeight="1" x14ac:dyDescent="0.25">
      <c r="A8" s="11" t="s">
        <v>87</v>
      </c>
      <c r="B8" s="6">
        <v>17000000</v>
      </c>
      <c r="C8" s="6">
        <v>151241611</v>
      </c>
      <c r="D8" s="6">
        <v>6250099</v>
      </c>
      <c r="E8" s="6">
        <v>9290934</v>
      </c>
      <c r="F8" s="6">
        <v>15541033</v>
      </c>
      <c r="G8" s="7">
        <v>0.10275633072964301</v>
      </c>
      <c r="H8" s="10">
        <v>0.205514411764706</v>
      </c>
      <c r="I8" s="10">
        <v>0.54652552941176502</v>
      </c>
      <c r="J8" s="10">
        <v>0.22</v>
      </c>
      <c r="K8" t="s">
        <v>86</v>
      </c>
    </row>
    <row r="9" spans="1:12" ht="42" customHeight="1" x14ac:dyDescent="0.25">
      <c r="A9" s="11" t="s">
        <v>88</v>
      </c>
      <c r="B9" s="6">
        <v>590337</v>
      </c>
      <c r="C9" s="6">
        <v>8056084</v>
      </c>
      <c r="D9" s="6">
        <v>914908</v>
      </c>
      <c r="E9" s="6">
        <v>590336</v>
      </c>
      <c r="F9" s="6">
        <v>1505244</v>
      </c>
      <c r="G9" s="7">
        <v>0.186845618789476</v>
      </c>
      <c r="H9" s="10">
        <v>8.4260346209029793E-2</v>
      </c>
      <c r="I9" s="10">
        <v>0.999998306052306</v>
      </c>
      <c r="J9" s="10">
        <v>0.35</v>
      </c>
      <c r="K9" t="s">
        <v>69</v>
      </c>
    </row>
    <row r="10" spans="1:12" ht="42" customHeight="1" x14ac:dyDescent="0.25">
      <c r="A10" s="11" t="s">
        <v>89</v>
      </c>
      <c r="B10" s="6">
        <v>196164</v>
      </c>
      <c r="C10" s="6">
        <v>40630620</v>
      </c>
      <c r="D10" s="6">
        <v>871689</v>
      </c>
      <c r="E10" s="6">
        <v>196163</v>
      </c>
      <c r="F10" s="6">
        <v>1067852</v>
      </c>
      <c r="G10" s="7">
        <v>2.6281951887517301E-2</v>
      </c>
      <c r="H10" s="10">
        <v>0</v>
      </c>
      <c r="I10" s="10">
        <v>0.99999490222466902</v>
      </c>
      <c r="J10" s="10">
        <v>0.7</v>
      </c>
      <c r="K10" t="s">
        <v>56</v>
      </c>
    </row>
    <row r="11" spans="1:12" ht="42" customHeight="1" x14ac:dyDescent="0.25">
      <c r="A11" s="11" t="s">
        <v>90</v>
      </c>
      <c r="B11" s="6">
        <v>4000000</v>
      </c>
      <c r="C11" s="6">
        <v>23456558</v>
      </c>
      <c r="D11" s="6">
        <v>0</v>
      </c>
      <c r="E11" s="6">
        <v>0</v>
      </c>
      <c r="F11" s="6">
        <v>0</v>
      </c>
      <c r="G11" s="7">
        <v>0</v>
      </c>
      <c r="H11" s="10">
        <v>0</v>
      </c>
      <c r="I11" s="10">
        <v>0</v>
      </c>
      <c r="J11" s="10">
        <v>0</v>
      </c>
      <c r="K11" t="s">
        <v>56</v>
      </c>
    </row>
    <row r="12" spans="1:12" ht="42" customHeight="1" x14ac:dyDescent="0.25">
      <c r="A12" s="11" t="s">
        <v>91</v>
      </c>
      <c r="B12" s="6">
        <v>575357</v>
      </c>
      <c r="C12" s="6">
        <v>6852871</v>
      </c>
      <c r="D12" s="6">
        <v>2395223</v>
      </c>
      <c r="E12" s="6">
        <v>575356</v>
      </c>
      <c r="F12" s="6">
        <v>2970579</v>
      </c>
      <c r="G12" s="7">
        <v>0.433479486189073</v>
      </c>
      <c r="H12" s="10">
        <v>2.3015275733153501E-2</v>
      </c>
      <c r="I12" s="10">
        <v>0.99999826194866803</v>
      </c>
      <c r="J12" s="10">
        <v>0.69</v>
      </c>
      <c r="K12" t="s">
        <v>86</v>
      </c>
    </row>
    <row r="13" spans="1:12" ht="42" customHeight="1" x14ac:dyDescent="0.25">
      <c r="A13" s="11" t="s">
        <v>92</v>
      </c>
      <c r="B13" s="6">
        <v>169226</v>
      </c>
      <c r="C13" s="6">
        <v>2740135</v>
      </c>
      <c r="D13" s="6">
        <v>486462</v>
      </c>
      <c r="E13" s="6">
        <v>169225</v>
      </c>
      <c r="F13" s="6">
        <v>655687</v>
      </c>
      <c r="G13" s="7">
        <v>0.23929003498002799</v>
      </c>
      <c r="H13" s="10">
        <v>0</v>
      </c>
      <c r="I13" s="10">
        <v>0.99999409074255696</v>
      </c>
      <c r="J13" s="10">
        <v>0.46</v>
      </c>
      <c r="K13" t="s">
        <v>86</v>
      </c>
    </row>
    <row r="14" spans="1:12" ht="42" customHeight="1" x14ac:dyDescent="0.25">
      <c r="A14" s="11" t="s">
        <v>93</v>
      </c>
      <c r="B14" s="6">
        <v>1</v>
      </c>
      <c r="C14" s="6">
        <v>500000</v>
      </c>
      <c r="D14" s="6">
        <v>0</v>
      </c>
      <c r="E14" s="6">
        <v>0</v>
      </c>
      <c r="F14" s="6">
        <v>0</v>
      </c>
      <c r="G14" s="7">
        <v>0</v>
      </c>
      <c r="H14" s="10">
        <v>0</v>
      </c>
      <c r="I14" s="10">
        <v>0</v>
      </c>
      <c r="J14" s="10">
        <v>0</v>
      </c>
      <c r="K14" t="s">
        <v>56</v>
      </c>
    </row>
    <row r="15" spans="1:12" ht="42" customHeight="1" x14ac:dyDescent="0.25">
      <c r="A15" s="11" t="s">
        <v>94</v>
      </c>
      <c r="B15" s="6">
        <v>1</v>
      </c>
      <c r="C15" s="6">
        <v>130000</v>
      </c>
      <c r="D15" s="6">
        <v>0</v>
      </c>
      <c r="E15" s="6">
        <v>0</v>
      </c>
      <c r="F15" s="6">
        <v>0</v>
      </c>
      <c r="G15" s="7">
        <v>0</v>
      </c>
      <c r="H15" s="10">
        <v>0</v>
      </c>
      <c r="I15" s="10">
        <v>0</v>
      </c>
      <c r="J15" s="10">
        <v>0</v>
      </c>
      <c r="K15" t="s">
        <v>56</v>
      </c>
    </row>
    <row r="16" spans="1:12" ht="42" customHeight="1" x14ac:dyDescent="0.25">
      <c r="A16" s="11" t="s">
        <v>95</v>
      </c>
      <c r="B16" s="6">
        <v>3000000</v>
      </c>
      <c r="C16" s="6">
        <v>9948355</v>
      </c>
      <c r="D16" s="6">
        <v>1899259</v>
      </c>
      <c r="E16" s="6">
        <v>657327</v>
      </c>
      <c r="F16" s="6">
        <v>2556586</v>
      </c>
      <c r="G16" s="7">
        <v>0.256985803180526</v>
      </c>
      <c r="H16" s="10">
        <v>9.9803333333333306E-3</v>
      </c>
      <c r="I16" s="10">
        <v>0.219109</v>
      </c>
      <c r="J16" s="10">
        <v>0.42</v>
      </c>
      <c r="K16" t="s">
        <v>74</v>
      </c>
    </row>
    <row r="17" spans="1:11" ht="42" customHeight="1" x14ac:dyDescent="0.25">
      <c r="A17" s="11" t="s">
        <v>96</v>
      </c>
      <c r="B17" s="6">
        <v>0</v>
      </c>
      <c r="C17" s="6">
        <v>5000000</v>
      </c>
      <c r="D17" s="6">
        <v>0</v>
      </c>
      <c r="E17" s="6">
        <v>0</v>
      </c>
      <c r="F17" s="6">
        <v>0</v>
      </c>
      <c r="G17" s="7">
        <v>0</v>
      </c>
      <c r="H17" s="10">
        <v>0</v>
      </c>
      <c r="I17" s="10">
        <v>0</v>
      </c>
      <c r="J17" s="10">
        <v>0</v>
      </c>
      <c r="K17" t="s">
        <v>78</v>
      </c>
    </row>
    <row r="18" spans="1:11" ht="42" customHeight="1" x14ac:dyDescent="0.25">
      <c r="A18" s="11" t="s">
        <v>97</v>
      </c>
      <c r="B18" s="6">
        <v>1</v>
      </c>
      <c r="C18" s="6">
        <v>94000000</v>
      </c>
      <c r="D18" s="6">
        <v>0</v>
      </c>
      <c r="E18" s="6">
        <v>0</v>
      </c>
      <c r="F18" s="6">
        <v>0</v>
      </c>
      <c r="G18" s="7">
        <v>0</v>
      </c>
      <c r="H18" s="10">
        <v>0</v>
      </c>
      <c r="I18" s="10">
        <v>0</v>
      </c>
      <c r="J18" s="10">
        <v>0</v>
      </c>
      <c r="K18" t="s">
        <v>78</v>
      </c>
    </row>
    <row r="19" spans="1:11" ht="42" customHeight="1" x14ac:dyDescent="0.25">
      <c r="A19" s="11" t="s">
        <v>98</v>
      </c>
      <c r="B19" s="6">
        <v>2</v>
      </c>
      <c r="C19" s="6">
        <v>87144074</v>
      </c>
      <c r="D19" s="6">
        <v>3806378</v>
      </c>
      <c r="E19" s="6">
        <v>0</v>
      </c>
      <c r="F19" s="6">
        <v>3806378</v>
      </c>
      <c r="G19" s="7">
        <v>4.3679137608370201E-2</v>
      </c>
      <c r="H19" s="10">
        <v>0</v>
      </c>
      <c r="I19" s="10">
        <v>0</v>
      </c>
      <c r="J19" s="10">
        <v>0.2</v>
      </c>
      <c r="K19" t="s">
        <v>78</v>
      </c>
    </row>
    <row r="20" spans="1:11" ht="42" customHeight="1" x14ac:dyDescent="0.25">
      <c r="A20" s="11" t="s">
        <v>99</v>
      </c>
      <c r="B20" s="6">
        <v>2</v>
      </c>
      <c r="C20" s="6">
        <v>17786991</v>
      </c>
      <c r="D20" s="6">
        <v>0</v>
      </c>
      <c r="E20" s="6">
        <v>0</v>
      </c>
      <c r="F20" s="6">
        <v>0</v>
      </c>
      <c r="G20" s="7">
        <v>0</v>
      </c>
      <c r="H20" s="10">
        <v>0</v>
      </c>
      <c r="I20" s="10">
        <v>0</v>
      </c>
      <c r="J20" s="10">
        <v>0</v>
      </c>
      <c r="K20" t="s">
        <v>78</v>
      </c>
    </row>
    <row r="21" spans="1:11" ht="42" customHeight="1" x14ac:dyDescent="0.25">
      <c r="A21" s="11" t="s">
        <v>100</v>
      </c>
      <c r="B21" s="6">
        <v>0</v>
      </c>
      <c r="C21" s="6">
        <v>66017800</v>
      </c>
      <c r="D21" s="6">
        <v>0</v>
      </c>
      <c r="E21" s="6">
        <v>0</v>
      </c>
      <c r="F21" s="6">
        <v>0</v>
      </c>
      <c r="G21" s="7">
        <v>0</v>
      </c>
      <c r="H21" s="10">
        <v>0</v>
      </c>
      <c r="I21" s="10">
        <v>0</v>
      </c>
      <c r="J21" s="10">
        <v>0</v>
      </c>
      <c r="K21" t="s">
        <v>78</v>
      </c>
    </row>
    <row r="22" spans="1:11" ht="42" customHeight="1" x14ac:dyDescent="0.25">
      <c r="A22" s="11" t="s">
        <v>101</v>
      </c>
      <c r="B22" s="6">
        <v>4999973</v>
      </c>
      <c r="C22" s="6">
        <v>30144671</v>
      </c>
      <c r="D22" s="6">
        <v>4955388</v>
      </c>
      <c r="E22" s="6">
        <v>2999973</v>
      </c>
      <c r="F22" s="6">
        <v>7955361</v>
      </c>
      <c r="G22" s="7">
        <v>0.263906048269692</v>
      </c>
      <c r="H22" s="10">
        <v>0.50093970507440699</v>
      </c>
      <c r="I22" s="10">
        <v>0.599997839988336</v>
      </c>
      <c r="J22" s="10">
        <v>0.51</v>
      </c>
      <c r="K22" t="s">
        <v>78</v>
      </c>
    </row>
    <row r="23" spans="1:11" ht="42" customHeight="1" x14ac:dyDescent="0.25">
      <c r="A23" s="11" t="s">
        <v>102</v>
      </c>
      <c r="B23" s="6">
        <v>2</v>
      </c>
      <c r="C23" s="6">
        <v>7774255</v>
      </c>
      <c r="D23" s="6">
        <v>0</v>
      </c>
      <c r="E23" s="6">
        <v>0</v>
      </c>
      <c r="F23" s="6">
        <v>0</v>
      </c>
      <c r="G23" s="7">
        <v>0</v>
      </c>
      <c r="H23" s="10">
        <v>0</v>
      </c>
      <c r="I23" s="10">
        <v>0</v>
      </c>
      <c r="J23" s="10">
        <v>0</v>
      </c>
      <c r="K23" t="s">
        <v>78</v>
      </c>
    </row>
    <row r="24" spans="1:11" ht="42" customHeight="1" x14ac:dyDescent="0.25">
      <c r="A24" s="11" t="s">
        <v>103</v>
      </c>
      <c r="B24" s="6">
        <v>1000000</v>
      </c>
      <c r="C24" s="6">
        <v>29369561</v>
      </c>
      <c r="D24" s="6">
        <v>10809237</v>
      </c>
      <c r="E24" s="6">
        <v>0</v>
      </c>
      <c r="F24" s="6">
        <v>10809237</v>
      </c>
      <c r="G24" s="7">
        <v>0.36804217128066702</v>
      </c>
      <c r="H24" s="10">
        <v>0</v>
      </c>
      <c r="I24" s="10">
        <v>0</v>
      </c>
      <c r="J24" s="10">
        <v>0.65</v>
      </c>
      <c r="K24" t="s">
        <v>56</v>
      </c>
    </row>
    <row r="25" spans="1:11" ht="42" customHeight="1" x14ac:dyDescent="0.25">
      <c r="A25" s="11" t="s">
        <v>104</v>
      </c>
      <c r="B25" s="6">
        <v>2</v>
      </c>
      <c r="C25" s="6">
        <v>12264722</v>
      </c>
      <c r="D25" s="6">
        <v>0</v>
      </c>
      <c r="E25" s="6">
        <v>0</v>
      </c>
      <c r="F25" s="6">
        <v>0</v>
      </c>
      <c r="G25" s="7">
        <v>0</v>
      </c>
      <c r="H25" s="10">
        <v>0</v>
      </c>
      <c r="I25" s="10">
        <v>0</v>
      </c>
      <c r="J25" s="10">
        <v>0</v>
      </c>
      <c r="K25" t="s">
        <v>56</v>
      </c>
    </row>
    <row r="26" spans="1:11" ht="42" customHeight="1" x14ac:dyDescent="0.25">
      <c r="A26" s="11" t="s">
        <v>105</v>
      </c>
      <c r="B26" s="6">
        <v>0</v>
      </c>
      <c r="C26" s="6">
        <v>1</v>
      </c>
      <c r="D26" s="6">
        <v>0</v>
      </c>
      <c r="E26" s="6">
        <v>0</v>
      </c>
      <c r="F26" s="6">
        <v>0</v>
      </c>
      <c r="G26" s="7">
        <v>0</v>
      </c>
      <c r="H26" s="10">
        <v>0</v>
      </c>
      <c r="I26" s="10">
        <v>0</v>
      </c>
      <c r="J26" s="10">
        <v>0</v>
      </c>
      <c r="K26" t="s">
        <v>56</v>
      </c>
    </row>
    <row r="27" spans="1:11" ht="42" customHeight="1" x14ac:dyDescent="0.25">
      <c r="A27" s="11" t="s">
        <v>106</v>
      </c>
      <c r="B27" s="6">
        <v>0</v>
      </c>
      <c r="C27" s="6">
        <v>2000000</v>
      </c>
      <c r="D27" s="6">
        <v>0</v>
      </c>
      <c r="E27" s="6">
        <v>0</v>
      </c>
      <c r="F27" s="6">
        <v>0</v>
      </c>
      <c r="G27" s="7">
        <v>0</v>
      </c>
      <c r="H27" s="10">
        <v>0</v>
      </c>
      <c r="I27" s="10">
        <v>0</v>
      </c>
      <c r="J27" s="10">
        <v>0</v>
      </c>
      <c r="K27" t="s">
        <v>56</v>
      </c>
    </row>
    <row r="28" spans="1:11" ht="42" customHeight="1" x14ac:dyDescent="0.25">
      <c r="A28" s="11" t="s">
        <v>107</v>
      </c>
      <c r="B28" s="6">
        <v>0</v>
      </c>
      <c r="C28" s="6">
        <v>8000000</v>
      </c>
      <c r="D28" s="6">
        <v>0</v>
      </c>
      <c r="E28" s="6">
        <v>0</v>
      </c>
      <c r="F28" s="6">
        <v>0</v>
      </c>
      <c r="G28" s="7">
        <v>0</v>
      </c>
      <c r="H28" s="10">
        <v>0</v>
      </c>
      <c r="I28" s="10">
        <v>0</v>
      </c>
      <c r="J28" s="10">
        <v>0</v>
      </c>
      <c r="K28" t="s">
        <v>69</v>
      </c>
    </row>
    <row r="29" spans="1:11" ht="42" customHeight="1" x14ac:dyDescent="0.25">
      <c r="A29" s="11" t="s">
        <v>108</v>
      </c>
      <c r="B29" s="6">
        <v>3000000</v>
      </c>
      <c r="C29" s="6">
        <v>14193414</v>
      </c>
      <c r="D29" s="6">
        <v>165362</v>
      </c>
      <c r="E29" s="6">
        <v>2463</v>
      </c>
      <c r="F29" s="6">
        <v>167825</v>
      </c>
      <c r="G29" s="7">
        <v>1.18241460440737E-2</v>
      </c>
      <c r="H29" s="10">
        <v>8.2100000000000001E-4</v>
      </c>
      <c r="I29" s="10">
        <v>8.2100000000000001E-4</v>
      </c>
      <c r="J29" s="10">
        <v>0.05</v>
      </c>
      <c r="K29" t="s">
        <v>109</v>
      </c>
    </row>
    <row r="30" spans="1:11" ht="42" customHeight="1" x14ac:dyDescent="0.25">
      <c r="A30" s="11" t="s">
        <v>110</v>
      </c>
      <c r="B30" s="6">
        <v>2992252</v>
      </c>
      <c r="C30" s="6">
        <v>82797637</v>
      </c>
      <c r="D30" s="6">
        <v>413128</v>
      </c>
      <c r="E30" s="6">
        <v>2990805</v>
      </c>
      <c r="F30" s="6">
        <v>3403933</v>
      </c>
      <c r="G30" s="7">
        <v>4.1111475198259598E-2</v>
      </c>
      <c r="H30" s="10">
        <v>0.24285153790523001</v>
      </c>
      <c r="I30" s="10">
        <v>0.99951641773486999</v>
      </c>
      <c r="J30" s="10">
        <v>7.0000000000000007E-2</v>
      </c>
      <c r="K30" t="s">
        <v>109</v>
      </c>
    </row>
    <row r="31" spans="1:11" ht="42" customHeight="1" x14ac:dyDescent="0.25">
      <c r="A31" s="11" t="s">
        <v>111</v>
      </c>
      <c r="B31" s="6">
        <v>2</v>
      </c>
      <c r="C31" s="6">
        <v>25649670</v>
      </c>
      <c r="D31" s="6">
        <v>0</v>
      </c>
      <c r="E31" s="6">
        <v>0</v>
      </c>
      <c r="F31" s="6">
        <v>0</v>
      </c>
      <c r="G31" s="7">
        <v>0</v>
      </c>
      <c r="H31" s="10">
        <v>0</v>
      </c>
      <c r="I31" s="10">
        <v>0</v>
      </c>
      <c r="J31" s="10">
        <v>0</v>
      </c>
      <c r="K31" t="s">
        <v>109</v>
      </c>
    </row>
    <row r="32" spans="1:11" ht="42" customHeight="1" x14ac:dyDescent="0.25">
      <c r="A32" s="11" t="s">
        <v>112</v>
      </c>
      <c r="B32" s="6">
        <v>1500002</v>
      </c>
      <c r="C32" s="6">
        <v>11473334</v>
      </c>
      <c r="D32" s="6">
        <v>0</v>
      </c>
      <c r="E32" s="6">
        <v>0</v>
      </c>
      <c r="F32" s="6">
        <v>0</v>
      </c>
      <c r="G32" s="7">
        <v>0</v>
      </c>
      <c r="H32" s="10">
        <v>0</v>
      </c>
      <c r="I32" s="10">
        <v>0</v>
      </c>
      <c r="J32" s="10">
        <v>0</v>
      </c>
      <c r="K32" t="s">
        <v>109</v>
      </c>
    </row>
    <row r="33" spans="1:11" ht="42" customHeight="1" x14ac:dyDescent="0.25">
      <c r="A33" s="11" t="s">
        <v>113</v>
      </c>
      <c r="B33" s="6">
        <v>0</v>
      </c>
      <c r="C33" s="6">
        <v>15000000</v>
      </c>
      <c r="D33" s="6">
        <v>0</v>
      </c>
      <c r="E33" s="6">
        <v>0</v>
      </c>
      <c r="F33" s="6">
        <v>0</v>
      </c>
      <c r="G33" s="7">
        <v>0</v>
      </c>
      <c r="H33" s="10">
        <v>0</v>
      </c>
      <c r="I33" s="10">
        <v>0</v>
      </c>
      <c r="J33" s="10">
        <v>0</v>
      </c>
      <c r="K33" t="s">
        <v>109</v>
      </c>
    </row>
    <row r="34" spans="1:11" ht="42" customHeight="1" x14ac:dyDescent="0.25">
      <c r="A34" s="11" t="s">
        <v>114</v>
      </c>
      <c r="B34" s="6">
        <v>2000000</v>
      </c>
      <c r="C34" s="6">
        <v>32181691</v>
      </c>
      <c r="D34" s="6">
        <v>3476195</v>
      </c>
      <c r="E34" s="6">
        <v>0</v>
      </c>
      <c r="F34" s="6">
        <v>3476195</v>
      </c>
      <c r="G34" s="7">
        <v>0.10801778564091</v>
      </c>
      <c r="H34" s="10">
        <v>0</v>
      </c>
      <c r="I34" s="10">
        <v>0</v>
      </c>
      <c r="J34" s="10">
        <v>0.39</v>
      </c>
      <c r="K34" t="s">
        <v>109</v>
      </c>
    </row>
    <row r="35" spans="1:11" ht="42" customHeight="1" x14ac:dyDescent="0.25">
      <c r="A35" s="11" t="s">
        <v>115</v>
      </c>
      <c r="B35" s="6">
        <v>2</v>
      </c>
      <c r="C35" s="6">
        <v>21780887</v>
      </c>
      <c r="D35" s="6">
        <v>0</v>
      </c>
      <c r="E35" s="6">
        <v>0</v>
      </c>
      <c r="F35" s="6">
        <v>0</v>
      </c>
      <c r="G35" s="7">
        <v>0</v>
      </c>
      <c r="H35" s="10">
        <v>0</v>
      </c>
      <c r="I35" s="10">
        <v>0</v>
      </c>
      <c r="J35" s="10">
        <v>0</v>
      </c>
      <c r="K35" t="s">
        <v>109</v>
      </c>
    </row>
    <row r="36" spans="1:11" ht="42" customHeight="1" x14ac:dyDescent="0.25">
      <c r="A36" s="11" t="s">
        <v>116</v>
      </c>
      <c r="B36" s="6">
        <v>1</v>
      </c>
      <c r="C36" s="6">
        <v>60000000</v>
      </c>
      <c r="D36" s="6">
        <v>0</v>
      </c>
      <c r="E36" s="6">
        <v>0</v>
      </c>
      <c r="F36" s="6">
        <v>0</v>
      </c>
      <c r="G36" s="7">
        <v>0</v>
      </c>
      <c r="H36" s="10">
        <v>0</v>
      </c>
      <c r="I36" s="10">
        <v>0</v>
      </c>
      <c r="J36" s="10">
        <v>0</v>
      </c>
      <c r="K36" t="s">
        <v>56</v>
      </c>
    </row>
    <row r="37" spans="1:11" ht="42" customHeight="1" x14ac:dyDescent="0.25">
      <c r="A37" s="11" t="s">
        <v>117</v>
      </c>
      <c r="B37" s="6">
        <v>2500002</v>
      </c>
      <c r="C37" s="6">
        <v>20139003</v>
      </c>
      <c r="D37" s="6">
        <v>0</v>
      </c>
      <c r="E37" s="6">
        <v>0</v>
      </c>
      <c r="F37" s="6">
        <v>0</v>
      </c>
      <c r="G37" s="7">
        <v>0</v>
      </c>
      <c r="H37" s="10">
        <v>0</v>
      </c>
      <c r="I37" s="10">
        <v>0</v>
      </c>
      <c r="J37" s="10">
        <v>0</v>
      </c>
      <c r="K37" t="s">
        <v>71</v>
      </c>
    </row>
    <row r="38" spans="1:11" ht="42" customHeight="1" x14ac:dyDescent="0.25">
      <c r="A38" s="11" t="s">
        <v>118</v>
      </c>
      <c r="B38" s="6">
        <v>10000000</v>
      </c>
      <c r="C38" s="6">
        <v>87533490</v>
      </c>
      <c r="D38" s="6">
        <v>69684699</v>
      </c>
      <c r="E38" s="6">
        <v>8405349</v>
      </c>
      <c r="F38" s="6">
        <v>78090048</v>
      </c>
      <c r="G38" s="7">
        <v>0.89211624030985204</v>
      </c>
      <c r="H38" s="10">
        <v>1.56058E-2</v>
      </c>
      <c r="I38" s="10">
        <v>0.84053489999999997</v>
      </c>
      <c r="J38" s="10">
        <v>0.97</v>
      </c>
      <c r="K38" t="s">
        <v>119</v>
      </c>
    </row>
    <row r="39" spans="1:11" ht="42" customHeight="1" x14ac:dyDescent="0.25">
      <c r="A39" s="11" t="s">
        <v>120</v>
      </c>
      <c r="B39" s="6">
        <v>0</v>
      </c>
      <c r="C39" s="6">
        <v>1100000000</v>
      </c>
      <c r="D39" s="6">
        <v>0</v>
      </c>
      <c r="E39" s="6">
        <v>0</v>
      </c>
      <c r="F39" s="6">
        <v>0</v>
      </c>
      <c r="G39" s="7">
        <v>0</v>
      </c>
      <c r="H39" s="10">
        <v>0</v>
      </c>
      <c r="I39" s="10">
        <v>0</v>
      </c>
      <c r="J39" s="10">
        <v>0</v>
      </c>
      <c r="K39" t="s">
        <v>119</v>
      </c>
    </row>
    <row r="40" spans="1:11" ht="42" customHeight="1" x14ac:dyDescent="0.25">
      <c r="B40" s="6">
        <f>SUBTOTAL(109,Table18[Toplam Yıl Ödeneği])</f>
        <v>80523330</v>
      </c>
      <c r="C40" s="6">
        <f>SUBTOTAL(109,Table18[Toplam Proje Tutarı])</f>
        <v>2441713319</v>
      </c>
      <c r="D40" s="6">
        <f>SUBTOTAL(109,Table18[Önceki Yıllar Toplam Harcaması])</f>
        <v>137836305</v>
      </c>
      <c r="E40" s="6">
        <f>SUBTOTAL(109,Table18[Yılı Harcama Tutarı])</f>
        <v>40122285</v>
      </c>
      <c r="F40" s="6">
        <f>SUBTOTAL(109,Table18[Toplam Harcama Tutarı])</f>
        <v>177958590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N4" sqref="N4"/>
    </sheetView>
  </sheetViews>
  <sheetFormatPr defaultRowHeight="15" x14ac:dyDescent="0.25"/>
  <cols>
    <col min="1" max="1" width="22.85546875" customWidth="1"/>
    <col min="2" max="2" width="13.28515625" customWidth="1"/>
    <col min="3" max="3" width="12.5703125" customWidth="1"/>
  </cols>
  <sheetData>
    <row r="1" spans="1:12" x14ac:dyDescent="0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47.25" customHeight="1" x14ac:dyDescent="0.25">
      <c r="A3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47.25" customHeight="1" x14ac:dyDescent="0.25">
      <c r="A4" s="11" t="s">
        <v>121</v>
      </c>
      <c r="B4" s="6">
        <v>3200000</v>
      </c>
      <c r="C4" s="6">
        <v>3200000</v>
      </c>
      <c r="D4" s="6">
        <v>0</v>
      </c>
      <c r="E4" s="6">
        <v>2692000</v>
      </c>
      <c r="F4" s="6">
        <v>2692000</v>
      </c>
      <c r="G4" s="7">
        <v>0.84125000000000005</v>
      </c>
      <c r="H4" s="10">
        <v>0.15625</v>
      </c>
      <c r="I4" s="10">
        <v>0.84125000000000005</v>
      </c>
      <c r="J4" s="10">
        <v>0.98</v>
      </c>
    </row>
    <row r="5" spans="1:12" ht="47.25" customHeight="1" x14ac:dyDescent="0.25">
      <c r="A5" s="11" t="s">
        <v>122</v>
      </c>
      <c r="B5" s="6">
        <v>1631000</v>
      </c>
      <c r="C5" s="6">
        <v>1631000</v>
      </c>
      <c r="D5" s="6">
        <v>0</v>
      </c>
      <c r="E5" s="6">
        <v>1046000</v>
      </c>
      <c r="F5" s="6">
        <v>1046000</v>
      </c>
      <c r="G5" s="7">
        <v>0.641324340895156</v>
      </c>
      <c r="H5" s="10">
        <v>0.183936235438381</v>
      </c>
      <c r="I5" s="10">
        <v>0.641324340895156</v>
      </c>
      <c r="J5" s="10">
        <v>0.85</v>
      </c>
    </row>
    <row r="6" spans="1:12" ht="47.25" customHeight="1" x14ac:dyDescent="0.25">
      <c r="A6" s="11" t="s">
        <v>123</v>
      </c>
      <c r="B6" s="6">
        <v>441000</v>
      </c>
      <c r="C6" s="6">
        <v>441000</v>
      </c>
      <c r="D6" s="6">
        <v>0</v>
      </c>
      <c r="E6" s="6">
        <v>0</v>
      </c>
      <c r="F6" s="6">
        <v>0</v>
      </c>
      <c r="G6" s="7">
        <v>0</v>
      </c>
      <c r="H6" s="10">
        <v>0</v>
      </c>
      <c r="I6" s="10">
        <v>0</v>
      </c>
      <c r="J6" s="10">
        <v>0</v>
      </c>
    </row>
    <row r="7" spans="1:12" ht="47.25" customHeight="1" x14ac:dyDescent="0.25">
      <c r="A7" s="11" t="s">
        <v>124</v>
      </c>
      <c r="B7" s="6">
        <v>500000</v>
      </c>
      <c r="C7" s="6">
        <v>500000</v>
      </c>
      <c r="D7" s="6">
        <v>0</v>
      </c>
      <c r="E7" s="6">
        <v>0</v>
      </c>
      <c r="F7" s="6">
        <v>0</v>
      </c>
      <c r="G7" s="7">
        <v>0</v>
      </c>
      <c r="H7" s="10">
        <v>0</v>
      </c>
      <c r="I7" s="10">
        <v>0</v>
      </c>
      <c r="J7" s="10">
        <v>0</v>
      </c>
      <c r="K7" t="s">
        <v>109</v>
      </c>
    </row>
    <row r="8" spans="1:12" ht="47.25" customHeight="1" x14ac:dyDescent="0.25">
      <c r="A8" s="11" t="s">
        <v>125</v>
      </c>
      <c r="B8" s="6">
        <v>555000</v>
      </c>
      <c r="C8" s="6">
        <v>555000</v>
      </c>
      <c r="D8" s="6">
        <v>0</v>
      </c>
      <c r="E8" s="6">
        <v>370000</v>
      </c>
      <c r="F8" s="6">
        <v>370000</v>
      </c>
      <c r="G8" s="7">
        <v>0.66666666666666696</v>
      </c>
      <c r="H8" s="10">
        <v>0</v>
      </c>
      <c r="I8" s="10">
        <v>0.66666666666666696</v>
      </c>
      <c r="J8" s="10">
        <v>0.87</v>
      </c>
      <c r="K8" t="s">
        <v>86</v>
      </c>
    </row>
    <row r="9" spans="1:12" ht="47.25" customHeight="1" x14ac:dyDescent="0.25">
      <c r="A9" s="11" t="s">
        <v>126</v>
      </c>
      <c r="B9" s="6">
        <v>3755000</v>
      </c>
      <c r="C9" s="6">
        <v>3755000</v>
      </c>
      <c r="D9" s="6">
        <v>0</v>
      </c>
      <c r="E9" s="6">
        <v>1300000</v>
      </c>
      <c r="F9" s="6">
        <v>1300000</v>
      </c>
      <c r="G9" s="7">
        <v>0.34620505992010697</v>
      </c>
      <c r="H9" s="10">
        <v>7.4524633821571196E-3</v>
      </c>
      <c r="I9" s="10">
        <v>0.34620505992010697</v>
      </c>
      <c r="J9" s="10">
        <v>0.94</v>
      </c>
      <c r="K9" t="s">
        <v>86</v>
      </c>
    </row>
    <row r="10" spans="1:12" ht="47.25" customHeight="1" x14ac:dyDescent="0.25">
      <c r="B10" s="6">
        <f>SUBTOTAL(109,Table19[Toplam Yıl Ödeneği])</f>
        <v>10082000</v>
      </c>
      <c r="C10" s="6">
        <f>SUBTOTAL(109,Table19[Toplam Proje Tutarı])</f>
        <v>10082000</v>
      </c>
      <c r="D10" s="6">
        <f>SUBTOTAL(109,Table19[Önceki Yıllar Toplam Harcaması])</f>
        <v>0</v>
      </c>
      <c r="E10" s="6">
        <f>SUBTOTAL(109,Table19[Yılı Harcama Tutarı])</f>
        <v>5408000</v>
      </c>
      <c r="F10" s="6">
        <f>SUBTOTAL(109,Table19[Toplam Harcama Tutarı])</f>
        <v>5408000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12" sqref="L12"/>
    </sheetView>
  </sheetViews>
  <sheetFormatPr defaultRowHeight="15" x14ac:dyDescent="0.25"/>
  <cols>
    <col min="1" max="1" width="28.7109375" customWidth="1"/>
  </cols>
  <sheetData>
    <row r="1" spans="1:12" x14ac:dyDescent="0.25">
      <c r="A1" s="15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75" x14ac:dyDescent="0.25">
      <c r="A3" s="11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54</v>
      </c>
    </row>
    <row r="4" spans="1:12" ht="45" customHeight="1" x14ac:dyDescent="0.25">
      <c r="A4" s="11" t="s">
        <v>128</v>
      </c>
      <c r="B4" s="6">
        <v>120000</v>
      </c>
      <c r="C4" s="6">
        <v>304440</v>
      </c>
      <c r="D4" s="6">
        <v>0</v>
      </c>
      <c r="E4" s="6">
        <v>0</v>
      </c>
      <c r="F4" s="6">
        <v>0</v>
      </c>
      <c r="G4" s="7">
        <v>0</v>
      </c>
      <c r="H4" s="10">
        <v>0</v>
      </c>
      <c r="I4" s="10">
        <v>0</v>
      </c>
      <c r="J4" s="10">
        <v>0.1</v>
      </c>
    </row>
    <row r="5" spans="1:12" x14ac:dyDescent="0.25">
      <c r="A5" s="11"/>
      <c r="B5" s="6">
        <f>SUBTOTAL(109,Table110[Toplam Yıl Ödeneği])</f>
        <v>120000</v>
      </c>
      <c r="C5" s="6">
        <f>SUBTOTAL(109,Table110[Toplam Proje Tutarı])</f>
        <v>304440</v>
      </c>
      <c r="D5" s="6">
        <f>SUBTOTAL(109,Table110[Önceki Yıllar Toplam Harcaması])</f>
        <v>0</v>
      </c>
      <c r="E5" s="6">
        <f>SUBTOTAL(109,Table110[Yılı Harcama Tutarı])</f>
        <v>0</v>
      </c>
      <c r="F5" s="6">
        <f>SUBTOTAL(109,Table110[Toplam Harcama Tutarı])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Tüm Kuruluşlar</vt:lpstr>
      <vt:lpstr>Erzincan Belediyesi</vt:lpstr>
      <vt:lpstr>EBYÜ</vt:lpstr>
      <vt:lpstr>İller Bankası  </vt:lpstr>
      <vt:lpstr>TEİAŞ 15. BG</vt:lpstr>
      <vt:lpstr>Vakıflar BG</vt:lpstr>
      <vt:lpstr>DSİ 8. BG</vt:lpstr>
      <vt:lpstr>Orman BG</vt:lpstr>
      <vt:lpstr>Tarım ve Orman B.13.BG</vt:lpstr>
      <vt:lpstr>Karayolları 16. BG </vt:lpstr>
      <vt:lpstr>TCDD 4. BG</vt:lpstr>
      <vt:lpstr>Tapu ve Kadastro 24. BG</vt:lpstr>
      <vt:lpstr>AFAD</vt:lpstr>
      <vt:lpstr>Çevre Şehircilik ve İklim </vt:lpstr>
      <vt:lpstr>Gençlik ve Spor İl M.</vt:lpstr>
      <vt:lpstr>Kültür ve Turizm M.</vt:lpstr>
      <vt:lpstr>Milli Eğitim M.</vt:lpstr>
      <vt:lpstr>iL Sağlık M. </vt:lpstr>
      <vt:lpstr>İL Tarım ve Orman M.</vt:lpstr>
      <vt:lpstr>İl Özel İdaresi</vt:lpstr>
      <vt:lpstr>İL jandarma  </vt:lpstr>
      <vt:lpstr>İl Emniyet M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Engin USTAOĞLU</cp:lastModifiedBy>
  <cp:lastPrinted>2022-10-03T08:38:49Z</cp:lastPrinted>
  <dcterms:created xsi:type="dcterms:W3CDTF">2016-07-06T08:22:49Z</dcterms:created>
  <dcterms:modified xsi:type="dcterms:W3CDTF">2022-10-07T11:57:07Z</dcterms:modified>
</cp:coreProperties>
</file>