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531BB93-99C4-4E6D-92E3-3F7BC3ACAB83}" xr6:coauthVersionLast="36" xr6:coauthVersionMax="36" xr10:uidLastSave="{00000000-0000-0000-0000-000000000000}"/>
  <bookViews>
    <workbookView xWindow="0" yWindow="0" windowWidth="18810" windowHeight="6780" firstSheet="1" activeTab="1" xr2:uid="{00000000-000D-0000-FFFF-FFFF00000000}"/>
  </bookViews>
  <sheets>
    <sheet name="GENEL BÜTÇE" sheetId="1" r:id="rId1"/>
    <sheet name="MAHALLİ İDARELER" sheetId="6" r:id="rId2"/>
    <sheet name="İLÇELER" sheetId="7" r:id="rId3"/>
    <sheet name="SEKTÖRLER" sheetId="9" r:id="rId4"/>
    <sheet name="ERZİNCAN BELEDİYESİ" sheetId="11" r:id="rId5"/>
    <sheet name="EBYÜ" sheetId="13" r:id="rId6"/>
    <sheet name="İL ÖZEL İDARESİ" sheetId="14" r:id="rId7"/>
    <sheet name="DSİ 8. BÖLGE MÜDÜRLÜĞÜ " sheetId="15" r:id="rId8"/>
    <sheet name="KARAYOLLARI 16. BÖLGE MÜDÜRLÜĞÜ" sheetId="16" r:id="rId9"/>
    <sheet name="KARAYOLLARI 12. BÖLGE " sheetId="17" r:id="rId10"/>
    <sheet name=" İLLER BANKASI  BÖLGE " sheetId="18" r:id="rId11"/>
    <sheet name="ORMAN BÖLGE" sheetId="19" r:id="rId12"/>
    <sheet name="TARIM VE ORMAN BAKANLIĞI 13. BÖ" sheetId="21" r:id="rId13"/>
    <sheet name="TCDD 4. BÖLGE MÜDÜRLÜĞÜ " sheetId="22" r:id="rId14"/>
    <sheet name=" TEİAŞ 15. BÖLGE MÜDÜRLÜĞÜ " sheetId="23" r:id="rId15"/>
    <sheet name="VAKIFLAR BÖLGE MÜDÜRLÜĞ" sheetId="24" r:id="rId16"/>
    <sheet name=" ÇEVRE, ŞEHİRCİLİK VE İ" sheetId="25" r:id="rId17"/>
    <sheet name=" GENÇLİK VE SPOR İL MÜ" sheetId="26" r:id="rId18"/>
    <sheet name=" İL AFET VE ACİL DURUM " sheetId="27" r:id="rId19"/>
    <sheet name=" İL KÜLTÜR VE TURİZM MÜ" sheetId="30" r:id="rId20"/>
    <sheet name=" İL SAĞLIK MÜDÜRLÜĞÜ" sheetId="31" r:id="rId21"/>
    <sheet name=" İL TARIM VE ORMAN MÜDÜ" sheetId="32" r:id="rId22"/>
    <sheet name=" İL MİLLİ EĞİTİM MÜDÜRLÜĞÜ " sheetId="33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3" l="1"/>
  <c r="E16" i="33"/>
  <c r="D16" i="33"/>
  <c r="C16" i="33"/>
  <c r="B16" i="33"/>
  <c r="F18" i="32" l="1"/>
  <c r="E18" i="32"/>
  <c r="D18" i="32"/>
  <c r="C18" i="32"/>
  <c r="B18" i="32"/>
  <c r="F16" i="31" l="1"/>
  <c r="E16" i="31"/>
  <c r="D16" i="31"/>
  <c r="C16" i="31"/>
  <c r="B16" i="31"/>
  <c r="F8" i="30" l="1"/>
  <c r="E8" i="30"/>
  <c r="D8" i="30"/>
  <c r="C8" i="30"/>
  <c r="B8" i="30"/>
  <c r="F6" i="27" l="1"/>
  <c r="E6" i="27"/>
  <c r="D6" i="27"/>
  <c r="C6" i="27"/>
  <c r="B6" i="27"/>
  <c r="F8" i="26" l="1"/>
  <c r="E8" i="26"/>
  <c r="D8" i="26"/>
  <c r="C8" i="26"/>
  <c r="B8" i="26"/>
  <c r="F10" i="25" l="1"/>
  <c r="E10" i="25"/>
  <c r="D10" i="25"/>
  <c r="C10" i="25"/>
  <c r="B10" i="25"/>
  <c r="F7" i="24" l="1"/>
  <c r="E7" i="24"/>
  <c r="D7" i="24"/>
  <c r="C7" i="24"/>
  <c r="B7" i="24"/>
  <c r="F6" i="23" l="1"/>
  <c r="E6" i="23"/>
  <c r="D6" i="23"/>
  <c r="C6" i="23"/>
  <c r="B6" i="23"/>
  <c r="F34" i="22" l="1"/>
  <c r="E34" i="22"/>
  <c r="D34" i="22"/>
  <c r="C34" i="22"/>
  <c r="B34" i="22"/>
  <c r="F10" i="19" l="1"/>
  <c r="E10" i="19"/>
  <c r="D10" i="19"/>
  <c r="C10" i="19"/>
  <c r="B10" i="19"/>
  <c r="F8" i="18" l="1"/>
  <c r="E8" i="18"/>
  <c r="D8" i="18"/>
  <c r="C8" i="18"/>
  <c r="B8" i="18"/>
  <c r="F29" i="16" l="1"/>
  <c r="E29" i="16"/>
  <c r="D29" i="16"/>
  <c r="C29" i="16"/>
  <c r="B29" i="16"/>
  <c r="F48" i="15" l="1"/>
  <c r="E48" i="15"/>
  <c r="D48" i="15"/>
  <c r="C48" i="15"/>
  <c r="B48" i="15"/>
  <c r="F154" i="14" l="1"/>
  <c r="E154" i="14"/>
  <c r="D154" i="14"/>
  <c r="C154" i="14"/>
  <c r="B154" i="14"/>
  <c r="F11" i="13" l="1"/>
  <c r="E11" i="13"/>
  <c r="D11" i="13"/>
  <c r="C11" i="13"/>
  <c r="B11" i="13"/>
  <c r="G13" i="9" l="1"/>
  <c r="F13" i="9"/>
  <c r="E13" i="9"/>
  <c r="D13" i="9"/>
  <c r="C13" i="9"/>
  <c r="B13" i="9"/>
  <c r="G14" i="7" l="1"/>
  <c r="F14" i="7"/>
  <c r="E14" i="7"/>
  <c r="D14" i="7"/>
  <c r="C14" i="7"/>
  <c r="B14" i="7"/>
  <c r="G6" i="6" l="1"/>
  <c r="F6" i="6"/>
  <c r="E6" i="6"/>
  <c r="D6" i="6"/>
  <c r="C6" i="6"/>
  <c r="B6" i="6"/>
  <c r="G23" i="1" l="1"/>
  <c r="F23" i="1"/>
  <c r="E23" i="1"/>
  <c r="D23" i="1"/>
  <c r="C23" i="1"/>
  <c r="B23" i="1"/>
  <c r="B5" i="21" l="1"/>
  <c r="C5" i="21"/>
  <c r="D5" i="21"/>
  <c r="E5" i="21"/>
  <c r="F5" i="21"/>
</calcChain>
</file>

<file path=xl/sharedStrings.xml><?xml version="1.0" encoding="utf-8"?>
<sst xmlns="http://schemas.openxmlformats.org/spreadsheetml/2006/main" count="979" uniqueCount="418">
  <si>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</si>
  <si>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</si>
  <si>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</si>
  <si>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</si>
  <si>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</si>
  <si>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</si>
  <si>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</si>
  <si>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</si>
  <si>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Dönem Nakdi Gerçekleşme Oranı</t>
  </si>
  <si>
    <t>Yılı Harcama Oranı</t>
  </si>
  <si>
    <t>Fiziki Gerçekleşme Oranı</t>
  </si>
  <si>
    <t>ERZİNCAN İL EMNİYET MÜDÜRLÜĞÜ</t>
  </si>
  <si>
    <t>TEİAŞ 15. BÖLGE MÜDÜRLÜĞÜ</t>
  </si>
  <si>
    <t>ERZİNCAN ÇEVRE, ŞEHİRCİLİK VE İKLİM DEĞİŞİKLİĞİ İL MÜDÜRLÜĞÜ</t>
  </si>
  <si>
    <t>DSİ 8. BÖLGE MÜDÜRLÜĞÜ</t>
  </si>
  <si>
    <t>TCDD 4. BÖLGE MÜDÜRLÜĞÜ</t>
  </si>
  <si>
    <t>ERZURUM VAKIFLAR BÖLGE MÜDÜRLÜĞÜ</t>
  </si>
  <si>
    <t>KARAYOLLARI 16. BÖLGE MÜDÜRLÜĞÜ</t>
  </si>
  <si>
    <t>TARIM VE ORMAN BAKANLIĞI 13. BÖLGE MÜDÜRLÜĞÜ</t>
  </si>
  <si>
    <t>ERZİNCAN İL MİLLİ EĞİTİM MÜDÜRLÜĞÜ</t>
  </si>
  <si>
    <t>ERZİNCAN GENÇLİK VE SPOR İL MÜDÜRLÜĞÜ</t>
  </si>
  <si>
    <t>İLLER BANKASI ERZURUM BÖLGE MÜDÜRLÜĞÜ</t>
  </si>
  <si>
    <t>ERZİNCAN İL SAĞLIK MÜDÜRLÜĞÜ</t>
  </si>
  <si>
    <t>ERZİNCAN İL KÜLTÜR VE TURİZM MÜDÜRLÜĞÜ</t>
  </si>
  <si>
    <t>KARAYOLLARI 12. BÖLGE MÜDÜRLÜĞÜ</t>
  </si>
  <si>
    <t>ERZURUM ORMAN BÖLGE MÜDÜRLÜĞÜ</t>
  </si>
  <si>
    <t>ERZİNCAN İL AFET VE ACİL DURUM MÜDÜRLÜĞÜ</t>
  </si>
  <si>
    <t>ERZİNCAN İL JANDARMA KOMUTANLIĞI</t>
  </si>
  <si>
    <t>ERZİNCAN İL ÖZEL İDARESİ</t>
  </si>
  <si>
    <t>ERZİNCAN BELEDİYE BAŞKANLIĞI</t>
  </si>
  <si>
    <t>İlçe</t>
  </si>
  <si>
    <t>MUHTELİF İLÇE</t>
  </si>
  <si>
    <t>KEMALİYE</t>
  </si>
  <si>
    <t>MERKEZ</t>
  </si>
  <si>
    <t>REFAHİYE</t>
  </si>
  <si>
    <t>ÇAYIRLI</t>
  </si>
  <si>
    <t>KEMAH</t>
  </si>
  <si>
    <t>İLİÇ</t>
  </si>
  <si>
    <t>TERCAN</t>
  </si>
  <si>
    <t>ÜZÜMLÜ</t>
  </si>
  <si>
    <t>OTLUKBELİ</t>
  </si>
  <si>
    <t>Turizm</t>
  </si>
  <si>
    <t>Enerji</t>
  </si>
  <si>
    <t>Konut</t>
  </si>
  <si>
    <t>Sağlık</t>
  </si>
  <si>
    <t>Eğitim</t>
  </si>
  <si>
    <t>Tarım</t>
  </si>
  <si>
    <t>Ulaştırma - Haberleşme</t>
  </si>
  <si>
    <t>Proje Sektörü</t>
  </si>
  <si>
    <t>SEKTÖRLERE GÖRE DEĞERLENDİRME</t>
  </si>
  <si>
    <t>Proje Adı</t>
  </si>
  <si>
    <t>YAYIN ALIMI</t>
  </si>
  <si>
    <t>MUHTELİF İŞLER</t>
  </si>
  <si>
    <t>KAMPÜS ALT YAPISI-(EBYÜ YALNIZBAĞ YERLEŞKESİ ÇEVRE YOLU, ÇEVRE DUVARI VE ALT YAPI YAPIM İŞİ)</t>
  </si>
  <si>
    <t>İKTİSADİ İDARİ BİLİMLE FAKÜLTESİ BİNASI YAPIM İŞİ</t>
  </si>
  <si>
    <t>ÇEŞİTLİ ÜNİTELERİN ETÜT PROJESİ</t>
  </si>
  <si>
    <t>AÇIK VE KAPALI SPOR TESİSLERİ</t>
  </si>
  <si>
    <t>İlçe Adı</t>
  </si>
  <si>
    <t>İLİÇ İLCE HÜKÜMET KONAĞI YAPIM İŞİ.</t>
  </si>
  <si>
    <t>ERZİNCAN KEMALİYE KARAPINAR KÖYÜ 30 M3 DEPO YAPIMI</t>
  </si>
  <si>
    <t>ERZİNCAN KEMAH TUZLAKÖYÜ-YAĞCA KÖYÜ 50 M3 DEPO YAPIMI</t>
  </si>
  <si>
    <t>(5 İŞ) ERZİNCAN İLİÇ DOSTAL AĞILDERE DORUKSARAY GÜNGÖREN ORTATEPE KÖYLERİ İÇME SUYU DEPO YAPIMI</t>
  </si>
  <si>
    <t>(3İŞ) ERZİNCAN KEMALİYE İLÇESİ KIZILÇUKUR 50 TONLUK İÇMESUYU GÜMÜŞÇEŞME İÇMESUYU DEPO ŞEBEKE YAPIMI YEŞİLYAYLA 30M3 İÇMESUYU DEPOSU(3 İŞ)</t>
  </si>
  <si>
    <t>(2İŞ) ERZİNCAN KEMAH TAŞBULAK KÖYÜ VE HAKBİLİR KÖYÜ DOLMABAHÇE MEZ. İÇME SUYU TESİSİ YAPIMI</t>
  </si>
  <si>
    <t>ERZİNCAN ÜZÜMLÜ İLÇE MERKEZİ ÜZÜMLÜ DERESİ 1. KISIM</t>
  </si>
  <si>
    <t>ERZİNCAN TURNAÇAYIRI BARAJI SULAMASI</t>
  </si>
  <si>
    <t>ERZİNCAN TURNAÇAYIRI BARAJI</t>
  </si>
  <si>
    <t>ERZİNCAN TERCAN ÇAVUŞLU MAHALLESİ İKMALİ</t>
  </si>
  <si>
    <t>ERZİNCAN SAĞ SAHİL POMPAJ TESİSLERİ TAMAMLAMA</t>
  </si>
  <si>
    <t>ERZİNCAN REFAHİYE YURTBAŞI GÖLETİ SULAMASI</t>
  </si>
  <si>
    <t>ERZİNCAN REFAHİYE YURTBAŞI GÖLETİ</t>
  </si>
  <si>
    <t>ERZİNCAN REFAHİYE İLÇE MERKEZİ HAKOĞLU (KOCAÇAY) DERESİ YAN KOLLARI 1. KISIM</t>
  </si>
  <si>
    <t>ERZİNCAN REFAHİYE ÇAT KÖYÜ İKMALİ</t>
  </si>
  <si>
    <t>ERZİNCAN REFAHİYE AVŞARÖZÜ GÖLETİ SULAMASI</t>
  </si>
  <si>
    <t>ERZİNCAN REFAHİYE AVŞARÖZÜ GÖLETİ</t>
  </si>
  <si>
    <t>ERZİNCAN REFAHİYE ARDIÇLIK, ULUDERE, ULUÇAK, AVŞARÖZÜ KÖYLERİ TERSİP BENDİ VE ISLAH SEKİSİ YAPIMI İKMALİ</t>
  </si>
  <si>
    <t>ERZİNCAN OTLUKBELİ İLÇE MERKEZİ 1. KISIM</t>
  </si>
  <si>
    <t>ERZİNCAN MERKEZ DAVARLI GÖLETİ SULAMASI</t>
  </si>
  <si>
    <t>ERZİNCAN MERKEZ DAVARLI GÖLETİ</t>
  </si>
  <si>
    <t>ERZİNCAN KEMAH TUZLAKÖY GÖLETİ SULAMASI</t>
  </si>
  <si>
    <t>ERZİNCAN KEMAH TUZLAKÖY GÖLETİ</t>
  </si>
  <si>
    <t>ERZİNCAN KEMAH ÖZDAMAR REGÜLATÖR SULAMASI İKMALİ</t>
  </si>
  <si>
    <t>ERZİNCAN KEMAH KARADAĞ GÖLETİ SULAMASI</t>
  </si>
  <si>
    <t>ERZİNCAN KEMAH KARADAĞ GÖLETİ</t>
  </si>
  <si>
    <t>ERZİNCAN KEMAH DOĞANBEYLİ GÖLETİ İKMALİ</t>
  </si>
  <si>
    <t>ERZİNCAN İLİ İŞLETMEDEKİ TAŞKIN KONTROL TESİSLERİNDE YETERSİZ GEÇİŞ YAPILARININ YENİLENMESİ</t>
  </si>
  <si>
    <t>ERZİNCAN İLİ HİS GÖLETLERİ PLANLAMA RAPORU HAZIRLANMASI</t>
  </si>
  <si>
    <t/>
  </si>
  <si>
    <t>ERZİNCAN İLİ GÖLET VE SULAMALARI PLANLAMA RAPORU VE PROJE YAPIMI 6. KISIM</t>
  </si>
  <si>
    <t>ERZİNCAN İLİ GÖLET VE SULAMALARI PLANLAMA RAPORU VE PROJE YAPIMI 3.KISIM (ERZİNCAN-SÜTPINAR, ERZİNCAN-DEREYURT, REFAHİYE-AYDINCIK, KEMAH-KÖMÜRKÖY...)</t>
  </si>
  <si>
    <t>ERZİNCAN İLİ 1. GRUP TERSİP BENDİ YAPIMI İKMALİ</t>
  </si>
  <si>
    <t>ERZİNCAN İÇMESUYU İSALE HATTI VE ARITMA TESİSİ PROJE YAPIMI İLE MÜŞAVİRLİK HİZMETLERİ</t>
  </si>
  <si>
    <t>ERZİNCAN 2.KISIM AT VE TİGH</t>
  </si>
  <si>
    <t>ERZİNCAN 1.KISIM AT VE TİGH</t>
  </si>
  <si>
    <t>BALLI BARAJI ANA İLETİM HATTI</t>
  </si>
  <si>
    <t>BALLI BARAJI</t>
  </si>
  <si>
    <t>YAPIM MÜŞAVİRLİK HİZMETLERİ</t>
  </si>
  <si>
    <t>REFAHİYE-KURUÇAY-İLİÇ YOLU [SÜNEBELİ VARYANTI-(İLİÇ-KEMAH)] AYR YOLU SANAT YAPILARI VE ÜST YAPI İKMAL İŞİ KM: 14+000 - 32+000</t>
  </si>
  <si>
    <t>REFAHİYE-KURUÇAY-İLİÇ DEVLET YOLU GÜMÜŞAKAR-KURUÇAY ARASI ( SÜNEBELİ TÜNELİ VE BAĞLANTI YOLLARI DAHİL ) KM. 22+500-51+500 TOPRAK İŞLERİ, SANAT YAPILAR</t>
  </si>
  <si>
    <t>REFAHİYE-KEMAH İL YOLU DAP</t>
  </si>
  <si>
    <t>REFAHİYE-ERZİNCAN DEVLET YOLUKM:31+500-65+000 ARASI HEYELEN ISLAH YAPIMI</t>
  </si>
  <si>
    <t>REFAHİYE- KURUÇAY- İLİÇ DEVLET YOLU GÜMÜŞAKAR- KURUÇAY ARASI (SÜNEBELİ VE GÜMÜŞAKAR TÜNELİ VE BAĞLANTI YOLLARI DAHİL) KM: 17+900-43+520 KESİMİ (İKMAL)</t>
  </si>
  <si>
    <t>REFAHİYE - İLİÇ - KEMALİYE - DUTLUCA - ARAPGİR YOLU KEMALİYE - DUTLUCA TÜNELLERİ VE BAĞLANTI YOLLARI İLE KEMALİYE VE KOZLUPINAR VİYADÜĞÜ KM:0+000 - 22</t>
  </si>
  <si>
    <t>KEMALİYE İLÇESİ DUTLUCA-BAŞPINAR KÖYLERİ YOLLARININ HEYELAN NEDENİ İLE İYİLEŞTİRİLMESİ (İRAP)</t>
  </si>
  <si>
    <t>KEMAH İLÇESİ CEBESOY KÖYÜ İLE ALPKÖYÜ ARASINDA KARAYOLUNDA KAYA DÜŞMESİ TEHLİKESİNE KARŞI ÖNLEM ALINMASI (İRAP)</t>
  </si>
  <si>
    <t>KARAYOLLARI 16.BÖLGE MÜDÜRLÜĞÜ YOL AĞINDA BULUNAN KEMALİYE (ŞIRZI) TÜNELLERİNDE ÇELİK AĞ VE KAYA TUTUCU BARİYER UYGULANMASI YAPIM İŞİ</t>
  </si>
  <si>
    <t>İMRANLI-REFAHİYE (DAP)</t>
  </si>
  <si>
    <t>ERZİNCAN-BAŞKÖY-ÇAYIRLI YOLU (KM=14+775-46+720 ARASI) TOPRAK İŞLERİ, SANAT YAPILARI(DEVEKORUSU KÖPRÜSÜ YAPILMASI DAHİL) VE ÜSTYAPI İŞLERİ</t>
  </si>
  <si>
    <t>DEMİRÖZÜ-OTLUKBELİ YOLU TOPRAK İŞLERİ,SANAT YAPILARI,ÜSTYAPI İŞLERİ YOL YAPIM İNŞ.</t>
  </si>
  <si>
    <t>(AKINCILAR-REFAHİYE) AYR- ÇATALÇAM YOLU (KM=0+000-16,151 ARASI) TOPRAK İŞLERİ, SANAT YAPILARI,DAMLACA-1,DAMLACA-2 KÖPRÜLERİ VE ÜSTYAPI İŞLERİ YOL YAP</t>
  </si>
  <si>
    <t>16. BL.HD.-TERCAN-AŞKALE</t>
  </si>
  <si>
    <t>ÜZÜMLÜ İÇMESUYU İNŞAATI</t>
  </si>
  <si>
    <t>TERCAN KANALİZASYON VE İÇMESUYU İNŞAATI YAPIM İŞİ</t>
  </si>
  <si>
    <t>ÇAĞLAYAN İÇMESUYU İNŞAATI YAPIM İŞİ</t>
  </si>
  <si>
    <t>ALTINBAŞAK KANALİZASYON İNŞAATI YAPIM İŞİ.</t>
  </si>
  <si>
    <t>ORMANLARIN GELİŞTİRİLMESİ VE GENİŞLETİLMESİ PROJESİ</t>
  </si>
  <si>
    <t>ORMANCILIK ALTYAPISI VE ÜRETİM MAKİNASI ALIMI PROJESİ</t>
  </si>
  <si>
    <t>ORMAN KADASTROSU VE TESCİLİ PROJESİ</t>
  </si>
  <si>
    <t>FİDAN ÜRETİM PROJESİ</t>
  </si>
  <si>
    <t>EROZYONLA MÜCADELE VE TOPRAK MUHAFAZA PROJESİ</t>
  </si>
  <si>
    <t>BİYOLOJİK ÇEŞİTLİLİĞE DAYALI GELENEKSEL BİLGİNİN KAYIT ALTINA ALINMASI</t>
  </si>
  <si>
    <t>TMİ MINTIKASINDAKİ İSTASYONLARA MAKAS ISITICISI SİSTEMİ KURULMASI</t>
  </si>
  <si>
    <t>MUHTELİF GAR VE İSTASYON BİNALARINA RÖLÖVE, RESTÜTİSYON VE RESTORASYON PROJESİ HAZIRLANMASI</t>
  </si>
  <si>
    <t>KIYI TAHKİMATI YAPILMASI</t>
  </si>
  <si>
    <t>KAR TÜNELİ VE YARMA KAZISI YAPILMASI</t>
  </si>
  <si>
    <t>İSTASYONLARDA PERONBEJ YAPIMI</t>
  </si>
  <si>
    <t>İLİÇ İSTASYON BİNASI VE 6 ADET HİZMETEVİNİN DOĞALGAZ DÖNÜŞÜMÜ</t>
  </si>
  <si>
    <t>HEMZEMİN GEÇİTLERE KORUMA, MAKİNİST UYARI, KAMERALI İZLEME SİSTEMLERİ KURULMASI</t>
  </si>
  <si>
    <t>ERZİNCAN-ERZURUM ARASI KÖPRÜLERİN İYİLEŞTİRMESİ</t>
  </si>
  <si>
    <t>ERZİNCAN VE ZİLE AKARYAKIT TESİSLERİNE KÖPÜKLÜ YANGIN SÖNDÜRME SİSTEMİ KURULUMU</t>
  </si>
  <si>
    <t>ERZİNCAN OSB İLTİSAK HATTI EMNİYET YOLU YAPIMI</t>
  </si>
  <si>
    <t>EKSİK OLAN MEYİL LEVHALARININ YAPIMI</t>
  </si>
  <si>
    <t>DİVRİĞİ-ERZİNCAN ARASI PETRADÜK VE YÜKSEK KAYA YARMA PROJE YAPTIRILMASI</t>
  </si>
  <si>
    <t>556 ADET ALÜMİNOTERMİT RAY KAYNAĞI İŞLERİ</t>
  </si>
  <si>
    <t>5 ADET TÜNEL TİPİ ÜST GEÇİT PROJESİ YAPILMASI</t>
  </si>
  <si>
    <t>42 ADET (ÇAMAF) MAKAS TEMİNİ VE 89 ADET MAKAS FERŞİ</t>
  </si>
  <si>
    <t>ERZİNCAN İŞLETME VE BAKIM MÜDÜRLÜĞÜ HİZMET BİNASI</t>
  </si>
  <si>
    <t>ERİÇ-BAĞIŞTAŞ EİH</t>
  </si>
  <si>
    <t>KENTSEL DÖNÜŞÜM KAPSAMINDA ERZİNCAN DEİRKENT MAHALLESİ 80 DAİRE YAPIM İŞİ</t>
  </si>
  <si>
    <t>KENTSEL DÖNÜŞÜM KAPSAMINDA ERZİNCAN CUMHURİYET MAHALLESİ 158 DAİRE YAPIM İŞİ</t>
  </si>
  <si>
    <t>ERZİNCAN İLİ MERKEZ GÜNBAĞI KÖYÜ İSKAN KONUTLARI YAPIM İŞİ</t>
  </si>
  <si>
    <t>ERZİNCAN İLİ KEMAH İLÇESİ KÖMÜR KÖYÜ İSKAN KONUTLARI YAPIM İŞİ</t>
  </si>
  <si>
    <t>ERZİNCAN ÇEVRE, ŞEHİRCİLİK VE İKLİM DEĞİŞİKLİĞİ İL MÜDÜRLÜĞÜ HİZMET BİNASI YAPIM İŞİ</t>
  </si>
  <si>
    <t xml:space="preserve">ERZİNCAN ÇEVRE, ŞEHİRCİLİK VE İKLİM DEĞİŞİKLİĞİ İL MÜDÜRLÜĞÜ </t>
  </si>
  <si>
    <t>OLİMPİK YÜZME HAVUZU ÇATI DEĞİŞİMİ, GÜÇLENDİRME VE GENEL BAKIM ONARIMI İKMALİ</t>
  </si>
  <si>
    <t>ÇAYIRLI GENÇLİK MERKEZİ</t>
  </si>
  <si>
    <t xml:space="preserve"> ERZİNCAN GENÇLİK VE SPOR İL MÜDÜRLÜĞÜ </t>
  </si>
  <si>
    <t>REFAHİYE İLÇESİ KANBERAĞA KÖYÜ KUZEYİNDE BULUNAN KAYA BLOKLARININ DÜŞME TEHLİKESİNE KARŞI ÖNLEM ALINMASI</t>
  </si>
  <si>
    <t>TERCAN İLÇE HALK KÜTÜPHANESİ HİZMET BİNASI ONARIMI İŞİ</t>
  </si>
  <si>
    <t>İL HALK KÜTÜPHANESİ HİZMET BİNASI YAPIM İŞİ</t>
  </si>
  <si>
    <t>ERZİNCAN MÜZESİ ONARIMI TEŞHİR TANZİMİ VE ÇEVRE DÜZENLEMESİ İŞİ</t>
  </si>
  <si>
    <t>ERGAN DAĞI MASTIR PLANI VE KENTSEL TASARIM PROJESİ İŞİ</t>
  </si>
  <si>
    <t>OTLUKBELİ ENTEGRE İLÇE HASTANESİ</t>
  </si>
  <si>
    <t>KEMALİYE 16 DAİRELİ LOJMAN</t>
  </si>
  <si>
    <t>KEMAH 16 DAİRELİ LOJMAN</t>
  </si>
  <si>
    <t>KARAAĞAÇ SAĞLIKLI YAŞAM MERKEZİ</t>
  </si>
  <si>
    <t>İLİÇ 8 DAİRELİ LOJMAN</t>
  </si>
  <si>
    <t>ERZİNCAN MERKEZ İDARİ BİNA KOMPLEKSİ+HALK SAĞLIĞI LABORATUARI+ASM+TSM+SAĞLIKLI YAŞAM MERKEZİ</t>
  </si>
  <si>
    <t>ERZİNCAN MERKEZ DEMİRKENT AİLE SAĞLIĞI MERKEZİ 3 AHB+112ACİL SAĞLIK İSTASYONU</t>
  </si>
  <si>
    <t>ERZİNCAN MERKEZ 3 NOLU ASHİ</t>
  </si>
  <si>
    <t>TARIMSAL YAYIM HİZMETLERİ PROJESİ</t>
  </si>
  <si>
    <t>SUNİ TOHUMLAMANIN GELİŞTİRİLMESİ</t>
  </si>
  <si>
    <t>SULARDA TARIMSAL FAALİYETLERDEN KAYNAKLANAN KİRLİLİĞİN KONTROLÜ PROJESİ</t>
  </si>
  <si>
    <t>SU ÜRÜNLERİ ÜRETİMİNİN GELİŞTİRİLMESİ PROJESİ</t>
  </si>
  <si>
    <t>ORGANİK TARIMIN YAYGINLAŞTIRILMASI VE KONTROLÜ PROJESİ</t>
  </si>
  <si>
    <t>KURUMSAL KAPASİTENİN GELİŞTİRİLMESİ PROJESİ</t>
  </si>
  <si>
    <t>İYİ TARIM UYGULAMALARININ YAYGINLAŞTIRILMASI VE KONTROLÜ PROJESİ</t>
  </si>
  <si>
    <t>HAYVANSAL ÜRETİMİN ARTIRILMASI</t>
  </si>
  <si>
    <t>HAYVAN HASTALIK VE ZARARLILARI İLE MÜCADELE PROJESİ</t>
  </si>
  <si>
    <t>GIDA VE YEM NUMUNESİ ALMA HİZMETLERİNİN GELİŞTİRİLMESİ</t>
  </si>
  <si>
    <t>ERZİNCAN TARIMA DAYALI İHTİSAS (BESİ) OSB</t>
  </si>
  <si>
    <t>ÇAYIR MERA ISLAH VE AMENAJMAN</t>
  </si>
  <si>
    <t>BİTKİ SAĞLIĞI UYG. KONT. PRJ. - BİTKİSEL ÜRETİM KARANTİNA HİZMETLERİ</t>
  </si>
  <si>
    <t>BİTKİ SAĞLIĞI UYG. KONT. PRJ. - BİTKİ SAĞLIĞI HİZMETLERİNİN ETKİNLEŞTİRİLMESİ</t>
  </si>
  <si>
    <t>MESLEKİ VE TEKNİK ANADOLU LİSESİ (KIZ MESLEK LİSESİ)</t>
  </si>
  <si>
    <t>MESLEKİ EĞİTİM MERKEZİ</t>
  </si>
  <si>
    <t>KEMALİYE HACI ALİ AKIN LİSESİ</t>
  </si>
  <si>
    <t>HAYRETTİN PAŞA İLKOKULU</t>
  </si>
  <si>
    <t>ERZİNCAN ÖĞRETMENEVİ</t>
  </si>
  <si>
    <t>ELAATTİN ELMAS ANADOLU İMAM HATİP LİSESİ</t>
  </si>
  <si>
    <t>AKYAZI İLKOKULU</t>
  </si>
  <si>
    <t>AKŞEMSEDDİN İLKOKULU</t>
  </si>
  <si>
    <t>MAHALLİ İDARELERE GÖRE DEĞERLENDİRME</t>
  </si>
  <si>
    <t>TOPLAM</t>
  </si>
  <si>
    <t xml:space="preserve">ERZİNCAN İL ÖZEL İDARESİ </t>
  </si>
  <si>
    <t>KÖYLERDE METRUK BİNALARIN KONTROLLÜ OLARAK YIKTIRILMASI</t>
  </si>
  <si>
    <t>TÜM KÖYLERDE BULUNAN KAÇAK YAPILARIN TESPİT EDİLMESİ, GEREKİRSE YIKTIRILMASI</t>
  </si>
  <si>
    <t>TÜM KÖYLERDE KAÇAK YAPILAŞMANIN ÖNÜNE GEÇİLMESİ</t>
  </si>
  <si>
    <t xml:space="preserve"> DSİ 8. BÖLGE MÜDÜRLÜĞÜ </t>
  </si>
  <si>
    <t>ERZİNCAN KEMAH KARADAĞ GÖLETİ SULAMASI MALZEME ALIMI</t>
  </si>
  <si>
    <t>ERZİNCAN KEMAH TUZLAKÖY GÖLETİ SULAMASI MALZEME ALIMI</t>
  </si>
  <si>
    <t>ERZİNCAN MERKEZ BAŞPINAR KÖYÜ</t>
  </si>
  <si>
    <t>ERZİNCAN MERKEZ DAVARLI GÖLETİ SULAMASI MALZEME ALIMI</t>
  </si>
  <si>
    <t>ERZİNCAN MERKEZ GÜNEBAKAN KÖYÜ</t>
  </si>
  <si>
    <t>ERZİNCAN MERKEZ VASGİRT VE HANÇERLİ DERELERİ REHABİLİTASYONU 2. KISIM</t>
  </si>
  <si>
    <t>ERZİNCAN REFAHİYE AVŞARÖZÜ GÖLETİ SULAMASI MALZEME ALIMI (HDPE BORU)</t>
  </si>
  <si>
    <t>ERZİNCAN REFAHİYE YURTBAŞI GÖLETİ SULAMASI MALZEME ALIMI (HDPE BORU)</t>
  </si>
  <si>
    <t>ERZİNCAN REFAHİYE YURTBAŞI VE AVŞARÖZÜ GÖLET SULAMALARI MALZEME ALIMI (CTP BORU)</t>
  </si>
  <si>
    <t>ERZİNCAN SOL SAHİL SULAMASI GEÇİŞ YAPILARI YENİLENMESİ</t>
  </si>
  <si>
    <t>ERZİNCAN TERCAN ÇADIRKAYA BELEDİYESİ KARA DERE VE YAN KOLLARI</t>
  </si>
  <si>
    <t>ERZİNCAN TERCAN İLÇESİ ÇADIRKAYA, MERCAN, YOLLARÜSTÜ 1 KISIM TAŞKIN KORUMA TESİSİ</t>
  </si>
  <si>
    <t>ERZİNCAN ÜZÜMLÜ İLÇESİ ÇARDAKLI ÇAYI TAŞKIN KORUMA TESİSİ</t>
  </si>
  <si>
    <t>(ERZİNCAN-PÜLÜMÜR)AYR.-12.BL.HD.</t>
  </si>
  <si>
    <t>(GÖLOVA-ÇAMOLUK) AYR.-ÇATALÇAM AYR. YOLU</t>
  </si>
  <si>
    <t>BAKIM ONARIM ,TESİS YAPIMI-ONARIMI VE KAR MÜCADELESİ ÇALIŞMALARI İLE PEYZAJ YAPILMASI İŞLERİ 2023</t>
  </si>
  <si>
    <t>ERZİNCAN ÇEVRE YOLU</t>
  </si>
  <si>
    <t>ETÜD-PROJE MÜHENDİSLİK VE MÜŞAVİRLİK HİZMETLERİ 2023</t>
  </si>
  <si>
    <t>İŞ SAĞLIĞI GÜVENLİĞİ İŞLERİ VE MAKİNA İKMAL YEDEK PARÇA, MALZEME ALIMLARI İLE ARAÇ KİRALAMA YAKACAK ALIMI VB. 2023</t>
  </si>
  <si>
    <t>KAMULAŞTIRMA BEDELLERİ ÖDEMELERİ 2023</t>
  </si>
  <si>
    <t>KIZILMAĞARA KÖPRÜSÜ</t>
  </si>
  <si>
    <t>SATHİ KAPLAMA ÇALIŞMALARI 2023</t>
  </si>
  <si>
    <t>TRAFİK GÜVENLİĞİ ÇALIŞMALARI 2023</t>
  </si>
  <si>
    <t>İDARE BİNALARININ İŞLETİLMESİ PROJESİ</t>
  </si>
  <si>
    <t>3 ADET HEMZEMİN GEÇİDE TÜNEL TİPİ ÜST GEÇİT YAPILMASI</t>
  </si>
  <si>
    <t>40 ADET (ÇAMAF) MAKAS TEMİNİ VE 82 ADET MAKAS FERŞİ</t>
  </si>
  <si>
    <t>ÇELİK GRİD VE KAYA TUTUCU BARİYER YAPILMASI</t>
  </si>
  <si>
    <t>ERZİNCAN AŞKALE YOL YENİLEMESİ</t>
  </si>
  <si>
    <t>KAR SİPERİ VE MAKAS FIRÇASI TEMİNİ İLE MONTAJI</t>
  </si>
  <si>
    <t>PALYE VE MENFEZ İŞLERİNİN YAPILMASI</t>
  </si>
  <si>
    <t>RÖLÖVE, RESTÜTİSYON VE RESTORASYON PROJESİ, ÇEVRE VE ERİŞİLEBİLİRLİK PROJELERİ İLE İHALE DOSYALARININ HAZIRLANMASI</t>
  </si>
  <si>
    <t>SAHA AYDINLATMALARININ İSTENİLEN LUX DEĞERLERİNE GÖRE REHABİLİTE EDİLMESİ</t>
  </si>
  <si>
    <t xml:space="preserve">ERZURUM VAKIFLAR BÖLGE MÜDÜRLÜĞÜ </t>
  </si>
  <si>
    <t>ERZİNCAN MERKEZ ULU (İZZET PAŞA) CAMİ RESTORASYON PROJELERİ HAZIRLANMASI (2022-2023)</t>
  </si>
  <si>
    <t>ERZİNCAN İLİ KEMAH İLÇESİ TUZLA KÖYÜ İSKAN KONUTLARI YAPIM İŞİ</t>
  </si>
  <si>
    <t>KEMALİYE AŞAĞIUMUTLU KÖYÜNDE BULUNAN KAYA BLOKLARININ DÜŞME TEHLİKESİNE KARŞI ÖNLEM ALINMASI</t>
  </si>
  <si>
    <t>CUMHURİYET ASM (4 HEKİMLİ)+112 ASHİ</t>
  </si>
  <si>
    <t>ERZİNCAN MERKEZ DÖRTYOL DEVLET HASTANESİ</t>
  </si>
  <si>
    <t>ERZİNCAN-TERCAN MERCAN ASM (3 AHB)+112 ASHİ</t>
  </si>
  <si>
    <t xml:space="preserve">GENEL BÜTÇELİ KURULUŞLARA GÖRE DEĞERLENDİRME </t>
  </si>
  <si>
    <t>ERZİNCAN İL TARIM VE ORMAN MÜDÜRLÜĞÜ</t>
  </si>
  <si>
    <t>ERZİNCAN BİNALİ YILDIRIM ÜNİVERSİTESİ REKTÖRLÜĞÜ</t>
  </si>
  <si>
    <t>27,30%</t>
  </si>
  <si>
    <t>39,30%</t>
  </si>
  <si>
    <t>%24.66</t>
  </si>
  <si>
    <t>%22.88</t>
  </si>
  <si>
    <t>İLÇELERE GÖRE DEĞERLENDRİME</t>
  </si>
  <si>
    <t>% 38.50</t>
  </si>
  <si>
    <t>% 27.23</t>
  </si>
  <si>
    <t>D KH-İktisadi</t>
  </si>
  <si>
    <t>D K H-Sosyal</t>
  </si>
  <si>
    <t>ERZİNCAN BELEDİYESİ</t>
  </si>
  <si>
    <t>Proje Sahibi Kuruluş</t>
  </si>
  <si>
    <t>MERKEZ YENİ SANAYİ SİTESİ A VE BLOK İŞYERLERİNİN YAPIMI</t>
  </si>
  <si>
    <t xml:space="preserve"> ERZİNCAN BİNALİ YILDIRIM ÜNİVERSİTESİ REKTÖRLÜĞÜ</t>
  </si>
  <si>
    <t>ERZİNCAN ÜNİVERSİTESİ BEDEN EĞİTİMİ SPOR YÜKSEKOKULU VE ANTREMAN SALONLARI BİNASI YAPIM İŞİ</t>
  </si>
  <si>
    <t>(15 İŞ)KÖYDES ERZİNCAN TERCAN MUH. KÖYLER KİLİT PARKE İŞİ</t>
  </si>
  <si>
    <t>(18 İŞ) ERZİNCAN ÇAYIRLI İLÇESİ MUHTELİF KÖYLER SOSYAL TESİSLERİN YAPIMI ONARIMI ÇEVRE DZENLEME İŞİ</t>
  </si>
  <si>
    <t>(2 İŞ) ERZİNCAN KEMAH İLÇESİ MUHTELİF KÖYLER BORU ALIMI İŞİ VE 4 ADET DEPPO ONARIMI İŞİ</t>
  </si>
  <si>
    <t>(2 İŞ) ERZİNCAN OTLUKELİ İLÇESİ UMURLU KÖYÜ KAPTAJ YAPIMI VE AĞAMÇAM KÖYÜ KAPTAJ VE DEPO YAPIMI</t>
  </si>
  <si>
    <t>(2 İŞ)ERZİNCAN MERKEZ CEVİZLİ KÖYÜ KURAN KUSU YAPIMI-KİLİMLİ KÖYÜ KÖY KONAĞI TADİLATI İŞİ.</t>
  </si>
  <si>
    <t>(2 İŞ)ERZİNCAN MERKEZ ÇUKURKUYU KÖYÜ VE KEKLİKKAYASI KÖYÜ SULAMA KANALI YAPIMI</t>
  </si>
  <si>
    <t>(2 İŞ)KÖYDES ERZİNCAN İLİÇ MUHT. KÖYLER KİLİT PARKE İŞİ</t>
  </si>
  <si>
    <t>(2 İŞ)KÖYDES ERZİNCAN KEMALİYE MUTH KÖYLER 1. KAT ASFALT YAPIM İŞİ</t>
  </si>
  <si>
    <t>(25 İŞ)ERZİNCAN TERCAN MUHTELİF KÖYLER SOSYAL TESİS YAPIMI</t>
  </si>
  <si>
    <t>(3 İŞ) ERZİNCAN İLİÇ İLÇESİ MUHTELİF KÖYLER SOSYAL TESİS YAPIM İŞİ.</t>
  </si>
  <si>
    <t>(3 İŞ) KÖYDES- ERZNCAN ÜZÜMLÜ MUH KÖYLER 1. KAT ASFALT İŞİ</t>
  </si>
  <si>
    <t>(3 İŞ)ERZİNCAN OTLUKBELİ İLÇESİ KÇ OTLUKBELİ AĞNİNE MEVKİ SULAMA KANALI YAPIMI, AĞAMÇAM KÖYÜ SULAMA KANALI VE BENT YAPIMI</t>
  </si>
  <si>
    <t>(3İŞ) ERZİNCAN KEMAH İLÇESİ GÖLKAYNAK VE HAKBİLİR KÖYÜ SULAMA HAVUZU YAPIMI- KÜPLÜ KÖYÜ SULAMA KANALI YAPIM İŞİ</t>
  </si>
  <si>
    <t>(3İŞ) ERZİNCAN MERKEZ KİLİMLİ MÜFTÜOĞLU MZR. BALLI, ÇATALARTMUT KÖYÜ İÇME SUYU İSALE HATTI YAPIMI İŞİ.</t>
  </si>
  <si>
    <t>(4 İŞ)ERZİNCAN KEMAH İLÇESİ KIRIKDERE-DORUCA MENFEZ YAPIMI İŞİ- MEZRA,TUZLA,TAN KÖYLERİ İSTİNAT DUVARI YAPIM İŞİ</t>
  </si>
  <si>
    <t>(4 İŞ)KÖYDES ERZİNCAN ÇAYIRLI MUHT. KÖYLER KİLİT PARKE İŞİ</t>
  </si>
  <si>
    <t>(4 İŞ)KÖYDES ERZİNCAN OTLUKBELİ MUH KÖYLER KİLİT PARKE VE İSTİNAT DUVARI İŞİ</t>
  </si>
  <si>
    <t>(4 İŞ)KÖYDES-ERZİNCAN MERKEZ MUHTELİF KÖYLER İÇMESUYU SONDAJ YAPIMI</t>
  </si>
  <si>
    <t>(4İŞ) ERZİNCAN MERKEZKÖYLERİ SULAMA KANALI YAPIM İŞİ.</t>
  </si>
  <si>
    <t>(5 İŞ)KÖYDES-ERZİNCAN REFAHİYE MUH. KÖYLER DEPO YAPIMI,ŞEBEKE YAPIMI,DEPO VE İSALE HATTI YAPIMI,EK İSALE HATTI YAPIMI</t>
  </si>
  <si>
    <t>(6 İŞ) ERZİNCAN KEMALİYE İLÇESİ MUHTELİF KÖYLER MEZARLIK İHATASI YAPIM İŞİ</t>
  </si>
  <si>
    <t>(7 İŞ)ERZİNCAN OTLUKELİ İLÇESİ MUHTELİF KÖYLER KÖY KONAĞI YAPIMI,MEZARLIK DUVARI YAPIMI, CAMİ BAKIM ONARIMI,ŞADIRVAN YAPIMI İŞİ</t>
  </si>
  <si>
    <t>(9 İŞ) ERZİNCAN TERCAN İLÇESİ MUHTELİF KÖYLER 500 M2 VE 1000 M2 KİLİT PARKE YAPIMI</t>
  </si>
  <si>
    <t>(9 İŞ)KÖYDES ERZİNCAN REFAHİYE MUH. KÖYLER KİLİT PARKE İŞİ</t>
  </si>
  <si>
    <t>5(İŞ) KÖYDES ERZİNCAN MERKEZ MUHT. KÖYLER KİLİT PARKE İŞİ</t>
  </si>
  <si>
    <t>DAP ERİNCAN ÇAYIRLI İLÇESİ HARMANTEPE KÖYÜ ÇATAKLAR MEV. SULAMA TESİSİ</t>
  </si>
  <si>
    <t>DAP ERZİNCAN KEMAH İLÇESİ ELAMLI KÖY SULAMA TESİSİ</t>
  </si>
  <si>
    <t>DAP ERZİNCAN REFAHİYE İLÇESİ AĞMUSA KÖYÜ SULAMA TESİSİ YAPIMI İŞİ</t>
  </si>
  <si>
    <t>DAP ERZİNCAN ÜZÜMLÜ İLÇESİ MERKEZ,GÖLLER,PİŞKİDAĞ KÖYLERİ SULAMA TESİSİ YAPIMI</t>
  </si>
  <si>
    <t>EK İŞ ERZİNCAN MERKEZ BALLI, BAHÇELİKÖY, OĞLAKTEPE KÖYLERİ İÇME SUYU ONARIMI İŞİ.</t>
  </si>
  <si>
    <t>EK İŞ ERZİNCAN MERKEZ BEYTAHTI MİLLET BAHÇESİ DRENAJ BORUSU ALIM İŞİ.</t>
  </si>
  <si>
    <t>EK İŞ ERZİNCAN MERKEZ GÜNBAĞI KÖYÜ KANALİZASYON ONARIMI İŞİ</t>
  </si>
  <si>
    <t>ERZİİNCAN KEMALİYE İLÇESİ MUHTELİF KÖYLER KİLİT PARKE İŞİ</t>
  </si>
  <si>
    <t>ERZİNCAN ÇAYIRLI İLÇESİ EŞMEPINAR-YAZIKAYA-CENNETPINAR KÖYÜ 2.KAT ASFALT 10 KM YAPIMI</t>
  </si>
  <si>
    <t>ERZİNCAN ÇAYIRLI İLÇESİ VERİMLİ KÖYÜ YOL AYRI-DOĞANYUVA KÖYÜ ARASI 2.KAT 4 KM ASFALT YAPIMI</t>
  </si>
  <si>
    <t>ERZİNCAN İLİÇ İLÇESİ ÇAYLI KÖYÜ 1.KAT 3 KM ASFALT YAPIMI</t>
  </si>
  <si>
    <t>ERZİNCAN İLİÇ İLÇESİ ÖZLÜ KÖYÜ 2.KAT 5.1 KM ASFALT YAPIMI</t>
  </si>
  <si>
    <t>ERZİNCAN KEMAH İLÇESİ MEZRAA KÖYÜ İSTİNAT DUVARI YAPIMI</t>
  </si>
  <si>
    <t>ERZİNCAN KEMAH İLÇESİ MUHTELİF KÖY YOLLARI ASFALTT ONARIMI İŞİ</t>
  </si>
  <si>
    <t>ERZİNCAN KEMAH İLÇESİ MUHTELİF KÖYLER MENFEZ YAPIMI</t>
  </si>
  <si>
    <t>ERZİNCAN KEMAH İLÇESİ TAN KÖYÜ İSTİNAT DUVARI YAPIMI</t>
  </si>
  <si>
    <t>ERZİNCAN KEMAH İLÇESİ TUZLA KÖYÜ İSTİNAT DUVARI YAPIMI</t>
  </si>
  <si>
    <t>ERZİNCAN KEMAH İŞÇESİ ÇALGI KÖYÜ KÖY KONAĞI YAPIMI İŞİ.</t>
  </si>
  <si>
    <t>ERZİNCAN KEMALİYE ÇALDERE KÖYÜ KANALİZASYON ONARIMI İŞİ</t>
  </si>
  <si>
    <t>ERZİNCAN KEMALİYE İLÇESİ %50 SÜV. TOHUM DETEĞİ</t>
  </si>
  <si>
    <t>ERZİNCAN KEMALİYE İLÇESİ APÇAĞA ÇEREZ MEVKİİ SULAMA KANALI YAPIM İŞİ</t>
  </si>
  <si>
    <t>ERZİNCAN KEMALİYE İLÇESİ AŞAĞIUMUTLU KANALİZASYON YAPIM İŞİ</t>
  </si>
  <si>
    <t>ERZİNCAN KEMALİYE İLÇESİ AŞAĞIUMUTLU KÖYÜ İÇMESUYU ONARIMI</t>
  </si>
  <si>
    <t>ERZİNCAN KEMALİYE İLÇESİ BUĞDAYPINAR SULAMA KANALI ONARIMI</t>
  </si>
  <si>
    <t>ERZİNCAN KEMALİYE İLÇESİ HARMANKAYA KÖYÜ İÇMESUYU BORU İŞÇİLİĞİ</t>
  </si>
  <si>
    <t>ERZİNCAN KEMALİYE İLÇESİ KUŞAK KÖYÜ 100MT 150 LİK SULAMA BORUSU ALIMI</t>
  </si>
  <si>
    <t>ERZİNCAN KEMALİYE İLÇESİ MUHTELİF KÖYLER YANGIN SÖNDÜRME ÜNİTESİ</t>
  </si>
  <si>
    <t>ERZİNCAN KEMALİYE İLÇESİ MUHTELİFLER KÖYLER ÇÖP İMHA ÇUKURU YAPIM İŞİ</t>
  </si>
  <si>
    <t>ERZİNCAN KEMALİYE İLÇESİ TOPKAPI İÇMESUYU EK KAYNAK GES</t>
  </si>
  <si>
    <t>ERZİNCAN KEMALİYE İLÇESİ YAKA KÖYÜ SULAMA KANALI YAPIM İŞİ</t>
  </si>
  <si>
    <t>ERZİNCAN KEMALİYE İLÇESİ YAYLADAMI YOL İSTİNAT DUVARI YAPIMI</t>
  </si>
  <si>
    <t>ERZİNCAN KEMALİYE İLÇESİKAVACIK YOLU MENFEZ YAPIMI</t>
  </si>
  <si>
    <t>ERZİNCAN KEMMALİYE İLÇESİ MUHTELİF KÖYLER YANGIN SÖNDÜRME ÜNİTESİ</t>
  </si>
  <si>
    <t>ERZİNCAN MERKEZ HANCIÇİFTLİĞİ SULAMA KANALI</t>
  </si>
  <si>
    <t>ERZİNCAN MERKEZ KIZGINLIĞIN TESPİTİ MAL ALIMI İŞİ</t>
  </si>
  <si>
    <t>ERZİNCAN MERKEZ KONAKBAŞI-ÜREK-SOĞUKOLUK GRUBU SULAMA KANALI YAPIMI</t>
  </si>
  <si>
    <t>ERZİNCAN MERKEZ KONAK-ÜREK GRUBU KANALİZASYON HAT DEĞİŞİMİ</t>
  </si>
  <si>
    <t>ERZİNCAN MERKEZ ÖRTÜ ALTI ÜREME TESİSİ MAL ALIMI İŞİ</t>
  </si>
  <si>
    <t>ERZİNCAN OTLUKBELİ İLÇESİ MERKEZ MEZARDERESİ MEVKİİ BORU ALIMI</t>
  </si>
  <si>
    <t>ERZİNCAN REFAHİYE İLÇESİ KANDİL KÖYÜ- KONAK KÖYÜ 4KM 1.KAT ASFALT İŞİ</t>
  </si>
  <si>
    <t>ERZİNCAN REFAHİYE İLÇESİ ONURLU KÖYÜ 2,3 KM SATHİ KAPLAMA</t>
  </si>
  <si>
    <t>ERZİNCAN REFAHİYE İLÇESİ TOPAĞAÇ KÖYÜ-SARIBAYIR KÖYÜ 4 KM 1.KAT ASFALT YAPIMI</t>
  </si>
  <si>
    <t>ERZİNCAN REFAHİYE İLÇESİ YRTBAŞI KÖYÜ-BAŞTOSUN KÖYÜ 4KM 1.KST ASFALT YAPIMI</t>
  </si>
  <si>
    <t>ERZİNCAN TERCAN İLÇESİ GÖKPINAR KÖYÜ İÇMESUYU TESİS ONARIMI</t>
  </si>
  <si>
    <t>ERZİNCAN TERCAN İLÇESİ SAĞLICA KÖYÜ EK KANALİZAYON YAPIMI</t>
  </si>
  <si>
    <t>ERZİNCAN ÜZÜMLÜ İLÇESİ ESENYURT, BY KÖY, AVCILAR,ÇAYIRYAZI KAPTAJ DRENAJ YAPIMI</t>
  </si>
  <si>
    <t>ERZİNCAN ÜZÜMLÜ İLÇESİ KRŞ.SRIKAYA KÖYÜ 5 TON DEPO YAPIMI</t>
  </si>
  <si>
    <t>ERZİNCAN ÜZÜMLÜ İLÇESİ MUHTELİF KÖYLER FİDAN ALIMI</t>
  </si>
  <si>
    <t>ERZİNCAN ÜZÜMLÜ İLÇESİ OCAKBAŞI KÖYÜ KÖY İÇİ KİLT PARKE YAPIMI</t>
  </si>
  <si>
    <t>ERZİNCAN ÜZÜMLÜ İLÇESİ PINARLIKAYA KÖYÜ MENFEZ YAPIMI</t>
  </si>
  <si>
    <t>KÖDES-ERZİNCAN MERKEZ KILIÇKAYA KÖYÜ İSALE HATTI YAPIMI</t>
  </si>
  <si>
    <t>KÖYDEES-ERZİİNCAN ÇAYIRLI VERİMLİ KÖYÜ İSALE HATTI YAPIMI</t>
  </si>
  <si>
    <t>KÖYDEES-ERZİNCAN ÇAYIRLI ÇİLLİGÖL/ARITAŞ 20M3 DEPO VE ŞEBEKE YAPIMI</t>
  </si>
  <si>
    <t>KÖYDES ERZİNCAN KEMAH KERER KÖYÜ1.KAT ASFALT İŞİ</t>
  </si>
  <si>
    <t>KÖYDES ERZİNCAN KEMALİYE MUH. KÖYLER KİLT PARKE İŞİ</t>
  </si>
  <si>
    <t>KÖYDES ERZİNCAN ÜZÜMLÜ GÖLLER KÖYÜ KİLİT PARKE İŞİ</t>
  </si>
  <si>
    <t>KÖYDES ERZİNCAN ÜZÜMLÜ KARAKAYA KÖYÜ KİLİT PARKE İŞİ</t>
  </si>
  <si>
    <t>KÖYDES-ERZİİNCAN MERKEZ BALLI KÖYÜ 50M3 DEPO YAPIMI</t>
  </si>
  <si>
    <t>KÖYDES-ERZİNCAN BAYIRBAĞ KÖYÜ EK İÇMESUYU YAPIMI</t>
  </si>
  <si>
    <t>KÖYDES-ERZİNCAN ÇAYIRLI AŞ.ÇAMURDERE KÖYÜ İSALE HATTI YAPIMI</t>
  </si>
  <si>
    <t>KÖYDES-ERZİNCAN ÇAYIRLI B.GELENÇ KÖYÜ İSALE HATTI YAPIMI</t>
  </si>
  <si>
    <t>KÖYDES-ERZİNCAN ÇAYIRLI CENNET PINAR KÖYÜ YYY 50M3 DEPO VE ŞEBEKE</t>
  </si>
  <si>
    <t>KÖYDES-ERZİNCAN ÇAYIRLI DOLUCA KÖYÜ İSALE HATTI YAPIMI</t>
  </si>
  <si>
    <t>KÖYDES-ERZİNCAN ÇAYIRLI TURNAÇAYIRI KÖYÜ 50M3 DEPO YAPIMI</t>
  </si>
  <si>
    <t>KÖYDES-ERZİNCAN İLİÇ BAĞIŞTAŞ/BAHÇECİK MEZRASI FOSEPTİK TAMAMLAMA</t>
  </si>
  <si>
    <t>KÖYDES-ERZİNCAN İLİÇ BALKAYA KÖYÜ İSALE HATTI YAPIMI</t>
  </si>
  <si>
    <t>KÖYDES-ERZİNCAN İLİÇ BOYALIK HASANOVA GES SULAMA TESİSİ YAPIMI</t>
  </si>
  <si>
    <t>KÖYDES-ERZİNCAN İLİÇ ÇALTI/YEŞİLYURT FOSEPTTİK TAMAMLAMA</t>
  </si>
  <si>
    <t>KÖYDES-ERZİNCAN İLİÇ ÇAYYAKA/GARİPÇAY KANALİZASYON TAMAMLAMA</t>
  </si>
  <si>
    <t>KÖYDES-ERZİNCAN İLİÇ ÇİFTLİK KÖYÜ İSALE HATTI</t>
  </si>
  <si>
    <t>KÖYDES-ERZİNCAN İLİÇ KAYMAKLI KÖYÜ İSALE HATTI</t>
  </si>
  <si>
    <t>KÖYDES-ERZİNCAN İLİÇ KONUKÇU KÖYÜ GES SULAMA TESİS YAPIMI</t>
  </si>
  <si>
    <t>KÖYDES-ERZİNCAN KEMAH ATMA KÖYÜ İSALE HATTI YAPIMI</t>
  </si>
  <si>
    <t>KÖYDES-ERZİNCAN KEMAH ÇALIKLAR KÖYÜ SULAMA HAVUZU YAPIMI</t>
  </si>
  <si>
    <t>KÖYDES-ERZİNCAN KEMAH DEDEK KÖYÜ DEPO ONARIMI</t>
  </si>
  <si>
    <t>KÖYDES-ERZİNCAN KEMAH DEDOĞLU KÖYÜ DEPO ONARIMI</t>
  </si>
  <si>
    <t>KÖYDES-ERZİNCAN KEMAH DUTLU KÖYÜ SULAMA KANALI YAPIMI</t>
  </si>
  <si>
    <t>KÖYDES-ERZİNCAN KEMAH ESİMLİ KÖYÜ SULAMA KANALI YAPIMI</t>
  </si>
  <si>
    <t>KÖYDES-ERZİNCAN KEMAH HAKBİLİR KÖYÜ KANALİZASYON YAPIMI</t>
  </si>
  <si>
    <t>KÖYDES-ERZİNCAN KEMAH ILGARLI KÖYÜ İSALE HATTI YAPIMI</t>
  </si>
  <si>
    <t>KÖYDES-ERZİNCAN KEMAH İNCİDERE KÖYÜ DEPO ONARIMI</t>
  </si>
  <si>
    <t>KÖYDES-ERZİNCAN KEMAH KERER KÖYÜ İSALE HATTI YAPIMI</t>
  </si>
  <si>
    <t>KÖYDES-ERZİNCAN KEMAH KORYOLU SULAMA KANALI YAPIMI</t>
  </si>
  <si>
    <t>KÖYDES-ERZİNCAN KEMAH MERMERLİKÖYÜ İSALE HATTI YAPIMI</t>
  </si>
  <si>
    <t>KÖYDES-ERZİNCAN KEMAH MURATBOYNU SULAMA HAVUZU YAPIMI</t>
  </si>
  <si>
    <t>KÖYDES-ERZİNCAN KEMAH SERİNGÖZE SULAMA KANALI</t>
  </si>
  <si>
    <t>KÖYDES-ERZİNCAN KEMAH SÜREK KÖYÜ İSALE HATTI YAPIMI</t>
  </si>
  <si>
    <t>KÖYDES-ERZİNCAN KEMAH ŞAHİNTEPE KÖYÜ ŞEBEKE YAPIMI</t>
  </si>
  <si>
    <t>KÖYDES-ERZİNCAN KEMAH TAŞBULAK/KUŞLU SULAMA HAVUZU YAPIMI</t>
  </si>
  <si>
    <t>KÖYDES-ERZİNCAN KEMAH YASTIKTEPEKÖYÜ İSALE HATTI VE DEPO YAPIMI</t>
  </si>
  <si>
    <t>KÖYDES-ERZİNCAN KEMALİYE</t>
  </si>
  <si>
    <t>KÖYDES-ERZİNCAN KEMALİYE GÜMÜŞÇEŞME/AĞILLAR KÖYÜ İSALE HATTI YAPIMI</t>
  </si>
  <si>
    <t>KÖYDES-ERZİNCAN KEMALİYE KEKİKPINAR KÖYÜ İSALE HATTI YAPIMI</t>
  </si>
  <si>
    <t>KÖYDES-ERZİNCAN MERKEZ ÇUBUKLU KÖYÜ 50M3 DEPO YAPIMI</t>
  </si>
  <si>
    <t>KÖYDES-ERZİNCAN MERKEZ HEYBELİ KÖYÜ İSALE HATTI YAPIMI</t>
  </si>
  <si>
    <t>KÖYDES-ERZİNCAN MERKEZ KOÇYATAĞI KÖYÜ ŞEBEKE YAPIMI</t>
  </si>
  <si>
    <t>KÖYDES-ERZİNCAN MERKEZ SÜTPINAR KÖYÜ ŞEBEKE YAPIMI</t>
  </si>
  <si>
    <t>KÖYDES-ERZİNCAN MERKEZ YEŞİLÇAT KÖYÜ İSALE HATTI YAPIMI</t>
  </si>
  <si>
    <t>KÖYDES-ERZİNCAN OTLUKBELİ KARADİVAN KÖYÜ ŞEBEKE YAPIMI</t>
  </si>
  <si>
    <t>KÖYDES-ERZİNCAN OTLUKBELİ YENİKÖY KÖYÜ İSALE HATTI YAPIMI</t>
  </si>
  <si>
    <t>KÖYDES-ERZİNCAN REFAHİYE ALAÇAYIR KÖYÜ EK GÜNEŞ PANELİ POMPA MONT.</t>
  </si>
  <si>
    <t>KÖYDES-ERZİNCAN REFAHİYE GEMECİK KÖYÜ ŞEBEKE YAPIMI</t>
  </si>
  <si>
    <t>KÖYDES-ERZİNCAN REFAHİYE HACI KÖYÜ DEPO VE İSALE HATTI YAPIMI</t>
  </si>
  <si>
    <t>KÖYDES-ERZİNCAN REFAHİYE KAZÖREN KÖYÜ DEPO VE ŞEBEKE YAPIMI</t>
  </si>
  <si>
    <t>KÖYDES-ERZİNCAN REFAHİYE KERSEN KÖYÜ EK İSALE HATTI YAPIMI</t>
  </si>
  <si>
    <t>KÖYDES-ERZİNCAN TERCAN BAŞBUDAK/ARAKEL İLAVE SU VE İSALE HATI YAPIMI</t>
  </si>
  <si>
    <t>KÖYDES-ERZİNCAN TERCAN ÇALKIŞLA/YOLLUCA TERFİLİ İÇMESUYU TESİSİ YAPIMI</t>
  </si>
  <si>
    <t>KÖYDES-ERZİNCAN TERCAN ESENEVLER /ÇİFTELER İSALE HATTI YAPIMI</t>
  </si>
  <si>
    <t>KÖYDES-ERZİNCAN TERCAN GÖKÇE KÖYÜ İLAVE SU VE İSALE HATTI YAPIMI</t>
  </si>
  <si>
    <t>KÖYDES-ERZİNCAN TERCAN GÖKPINAR KÖYÜ DEPO YAPIMI</t>
  </si>
  <si>
    <t>KÖYDES-ERZİNCAN TERCAN KALECİK KÖYÜ İLAVE SU VE İSALE HATTI YAPIMI</t>
  </si>
  <si>
    <t>KÖYDES-ERZİNCAN TERCAN KONARLI/BAHÇE/İSMAİLAĞA İLAVE SU VE İSALE HATTI</t>
  </si>
  <si>
    <t>KÖYDES-ERZİNCAN TERCAN YALINKAŞ KÖYÜ İSALE HATTI YAPIMI</t>
  </si>
  <si>
    <t>KÖYDES-ERZİNCAN TERCAN YAYLIM KÖYÜ İSALE HATTI YAPIMI</t>
  </si>
  <si>
    <t>KÖYDES-ERZİNCAN ÜZÜMLÜ KARACALAR KÖYÜ İSALE HATTI VE ŞEBEKE YAPIMI</t>
  </si>
  <si>
    <t>KÖYDES-ERZİNCAN ÜZÜMLÜ PELİTLİ KÖYÜ İLAVE SU VE İSALE HATTI YAPIMI</t>
  </si>
  <si>
    <t>KÖYDES-ERZİNCAN ÜZÜMLÜ PİŞKİDAĞ KÖYÜ SULAMA KANALI YAPIMI</t>
  </si>
  <si>
    <t>12,00%</t>
  </si>
  <si>
    <t>14,80%</t>
  </si>
  <si>
    <t xml:space="preserve">KARAYOLLARI 16. BÖLGE MÜDÜRLÜĞÜ </t>
  </si>
  <si>
    <t>KARAYOLLARI 16.BÖLGE MÜDÜRLÜĞÜ SORUMLULUĞUNDA BULUNAN 24-61 KK NO LU İL YOLUNDA (KEMALİYE TAŞYOL) BETONARME MENFEZ YAPILMASI İŞİ</t>
  </si>
  <si>
    <t xml:space="preserve"> KARAYOLLARI 12. BÖLGE MÜDÜRLÜĞÜ</t>
  </si>
  <si>
    <t xml:space="preserve"> İLLER BANKASI ERZURUM BÖLGE MÜDÜRLÜĞÜ</t>
  </si>
  <si>
    <t xml:space="preserve"> ERZURUM ORMAN BÖLGE MÜDÜRLÜĞÜ</t>
  </si>
  <si>
    <t xml:space="preserve">TARIM VE ORMAN BAKANLIĞI 13. BÖLGE MÜDÜRLÜĞÜ </t>
  </si>
  <si>
    <t xml:space="preserve"> TCDD 4. BÖLGE MÜDÜRLÜĞÜ</t>
  </si>
  <si>
    <t>2 ADET SAYDİNGİN SİNYALİZASYON VE TELEKOMİNİKASYON SİSTEMLERİNE İLAVE EDİLMESİ</t>
  </si>
  <si>
    <t>AŞINAN RAYLARIN DEĞİŞTİRİLMESİ</t>
  </si>
  <si>
    <t>GAR BİNASININ TADİLATI VE DEPREM GÜÇLENDİRMESİ YAPILMASI</t>
  </si>
  <si>
    <t>HEYELANLI BÖLGE ISLAHI İÇİN JEOLOJİK ETÜT ÇALIŞMALARI YAPILMASI</t>
  </si>
  <si>
    <t>MUHTELİF TÜNELLERİN YIKILIP YENİDEN YAPILMASI İŞİNİN PROJELENDİRİLMESİ</t>
  </si>
  <si>
    <t>PALYE, İMLA TAKVİYESİ, HENDEK, BALAST TUTUCU OTOKORKULUK YAPILMASI</t>
  </si>
  <si>
    <t>YOLUN DEPLASE PROJESİNİN YAPILMASI</t>
  </si>
  <si>
    <t xml:space="preserve"> TEİAŞ 15. BÖLGE MÜDÜRLÜĞÜ </t>
  </si>
  <si>
    <t>ERZİNCAN-KEMAH BEKLİMÇAY CAMİİ, SOĞUKPINAR (YUKARI MAHALLE) CAMİİ, AŞAĞI GEDİK CAMİİ VE ERZURUM HINIS ALAATTİN BEY CAMİİ</t>
  </si>
  <si>
    <t>ERZİNCAN-KEMALİYE KURTOĞLU CAMİİ, ERZİNCAN-KEMALİYE DÖRTYOLAĞZI CAMİİ, ERZİNCAN-KEMALİYE HACIEMİN MESCİDİ</t>
  </si>
  <si>
    <t>ERGAN DAĞINA SPORCU EĞİTİM MERKEZİ BİNASI, 2 FUTBOL SAHASI VE İKİLİ SOYUNMA ODASI YAPIMI</t>
  </si>
  <si>
    <t>ERZİNCAN 1000 KİŞİLİK SPOR SALONU</t>
  </si>
  <si>
    <t xml:space="preserve"> ERZİNCAN İL AFET VE ACİL DURUM MÜDÜRLÜĞÜ </t>
  </si>
  <si>
    <t xml:space="preserve"> ERZİNCAN İL KÜLTÜR VE TURİZM MÜDÜRLÜĞÜ </t>
  </si>
  <si>
    <t xml:space="preserve"> ERZİNCAN İL SAĞLIK MÜDÜRLÜĞÜ </t>
  </si>
  <si>
    <t>ERZİNCAN MERKEZ İZZETPAŞA ASM(5 AHB)+112 ASHİ</t>
  </si>
  <si>
    <t xml:space="preserve"> ERZİNCAN İL TARIM VE ORMAN MÜDÜRLÜĞÜ</t>
  </si>
  <si>
    <t xml:space="preserve"> ERZİNCAN İL MİLLİ EĞİTİM MÜDÜRLÜĞÜ </t>
  </si>
  <si>
    <t>15 TEMMUZ ŞEHİTLERİ İMAM HATİP ORTAOKULU DOĞALGAZ DÖNÜŞÜM İŞİ</t>
  </si>
  <si>
    <t>OKULLARDA ENERJİ VERİMLİLİĞİ KAPSAMINDA 6 OKULUN INARIMI</t>
  </si>
  <si>
    <t>ORTA ÖĞRETİM GENEL MÜDÜRLÜĞÜNE BAĞLI 3 OKUL ONARIM İŞİ</t>
  </si>
  <si>
    <t>TEMEL EĞİTİMDE 6 OKUL ONARIM İŞİ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</si>
</sst>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 applyAlignment="1">
      <alignment horizontal="center"/>
    </xf>
    <xf numFmtId="0" fontId="2" fillId="0" borderId="0" xfId="0" applyFont="1"/>
    <xf numFmtId="1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02">
    <dxf>
      <numFmt numFmtId="164" formatCode="%0.00;\-%0.00;%0.00"/>
    </dxf>
    <dxf>
      <numFmt numFmtId="164" formatCode="%0.00;\-%0.00;%0.0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65" formatCode="%#,##0.00;\-%#,##0.00;%#,##0.00"/>
    </dxf>
    <dxf>
      <numFmt numFmtId="165" formatCode="%#,##0.00;\-%#,##0.00;%#,##0.0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65" formatCode="%#,##0.00;\-%#,##0.00;%#,##0.00"/>
    </dxf>
    <dxf>
      <numFmt numFmtId="14" formatCode="0.00%"/>
    </dxf>
    <dxf>
      <numFmt numFmtId="14" formatCode="0.00%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65" formatCode="%#,##0.00;\-%#,##0.00;%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5" formatCode="%#,##0.00;\-%#,##0.00;%#,##0.00"/>
    </dxf>
    <dxf>
      <numFmt numFmtId="165" formatCode="%#,##0.00;\-%#,##0.00;%#,##0.00"/>
    </dxf>
    <dxf>
      <numFmt numFmtId="164" formatCode="%0.00;\-%0.00;%0.00"/>
    </dxf>
    <dxf>
      <alignment horizontal="general" vertical="bottom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424D75-A00C-41BE-B723-B8FC5F47E0BD}" name="Table12" displayName="Table12" ref="A3:K23" totalsRowCount="1">
  <autoFilter ref="A3:K22" xr:uid="{81AC7D2C-1368-40B9-8DEB-8A270FB443E2}"/>
  <tableColumns count="11">
    <tableColumn id="1" xr3:uid="{7301F345-7EEB-4982-9A2C-C00D42A3C8DA}" name="Yatırımcı Kuruluş" dataDxfId="101"/>
    <tableColumn id="2" xr3:uid="{BA306E08-BF42-4DE8-8795-A784335F124D}" name="Proje Sayısı" totalsRowFunction="sum" totalsRowDxfId="100"/>
    <tableColumn id="3" xr3:uid="{014F90EF-19C1-4145-A686-5123B7013B65}" name="Toplam Yıl Ödeneği" totalsRowFunction="sum" totalsRowDxfId="99"/>
    <tableColumn id="4" xr3:uid="{7A893AC5-01BE-41AF-9560-E69334946713}" name="Toplam Proje Tutarı" totalsRowFunction="sum" totalsRowDxfId="98"/>
    <tableColumn id="5" xr3:uid="{93CDF856-E4BD-498C-B019-FA7293AC9FF5}" name="Önceki Yıllar Toplam Harcaması" totalsRowFunction="sum" totalsRowDxfId="97"/>
    <tableColumn id="6" xr3:uid="{1B660CFC-3C0E-4EC6-A49C-F7661EB67720}" name="Yılı Harcama Tutarı" totalsRowFunction="sum" totalsRowDxfId="96"/>
    <tableColumn id="7" xr3:uid="{B03A4EF8-5BAC-405A-B435-76BC79B2FC3E}" name="Toplam Harcama Tutarı" totalsRowFunction="sum" totalsRowDxfId="95"/>
    <tableColumn id="8" xr3:uid="{65DB8C59-530B-4A14-AF28-A55E5B82BC90}" name="Nakdi Gerçekleşme Oranı" totalsRowLabel="27,30%" totalsRowDxfId="94"/>
    <tableColumn id="9" xr3:uid="{203EA877-37BB-49F1-B8EE-27080ADBEEB2}" name="Dönem Nakdi Gerçekleşme Oranı" totalsRowLabel="39,30%" totalsRowDxfId="93"/>
    <tableColumn id="10" xr3:uid="{3D7E6E5A-FC34-460B-9B83-CD8592D276CC}" name="Yılı Harcama Oranı" totalsRowLabel="39,30%" totalsRowDxfId="92"/>
    <tableColumn id="11" xr3:uid="{5629F701-DFCF-4D8C-B006-BFE827AC096C}" name="Fiziki Gerçekleşme Oranı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8E993A7-9C68-4BBF-AFAF-3BFF98BEE6EF}" name="Table127" displayName="Table127" ref="A3:K4">
  <autoFilter ref="A3:K4" xr:uid="{DE76321C-3FF9-4526-B955-6F2428310B2A}"/>
  <tableColumns count="11">
    <tableColumn id="1" xr3:uid="{9BEE00D8-E30A-48A1-9920-21287C3E5ABB}" name="Proje Adı"/>
    <tableColumn id="2" xr3:uid="{9208B60E-272C-4B1A-9EC5-D1B37D0124DB}" name="Toplam Yıl Ödeneği"/>
    <tableColumn id="3" xr3:uid="{B369975E-FCEA-47C9-9979-551A01254F1D}" name="Toplam Proje Tutarı"/>
    <tableColumn id="4" xr3:uid="{DCC11FD7-E83D-4955-83CB-5558E2E38271}" name="Önceki Yıllar Toplam Harcaması"/>
    <tableColumn id="5" xr3:uid="{A4E931F5-9C5E-4C0E-BA63-B51C7A74DB03}" name="Yılı Harcama Tutarı"/>
    <tableColumn id="6" xr3:uid="{66F003C7-4FEB-4A20-BFD1-3A288C9C1209}" name="Toplam Harcama Tutarı"/>
    <tableColumn id="7" xr3:uid="{E6EBF4B6-CAB9-4F6E-8B20-C09B765535B5}" name="Nakdi Gerçekleşme Oranı"/>
    <tableColumn id="8" xr3:uid="{E7E2CEA8-6D97-472A-8D8B-716D0747A399}" name="Dönem Nakdi Gerçekleşme Oranı"/>
    <tableColumn id="9" xr3:uid="{549D5229-704C-4399-B176-A8AF16684861}" name="Yılı Harcama Oranı"/>
    <tableColumn id="10" xr3:uid="{616AB94F-1AFC-4EE2-A57C-86EF761F9C40}" name="Fiziki Gerçekleşme Oranı"/>
    <tableColumn id="12" xr3:uid="{5BC0B63F-AC4A-4443-82F0-18585B7D2B96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215028F-29EA-4B2F-96F2-D85333474CB8}" name="Table128" displayName="Table128" ref="A3:K8" totalsRowCount="1">
  <autoFilter ref="A3:K7" xr:uid="{138364B7-E3A4-4F2F-B5C7-C968C397926C}"/>
  <tableColumns count="11">
    <tableColumn id="1" xr3:uid="{E91CC858-7C6D-4F26-A8F5-19C1613E461F}" name="Proje Adı" dataDxfId="43"/>
    <tableColumn id="2" xr3:uid="{DC96A77E-A50F-45E7-B47A-196AEDE7E86E}" name="Toplam Yıl Ödeneği" totalsRowFunction="sum"/>
    <tableColumn id="3" xr3:uid="{9C785344-AC8D-4165-85CB-4226417FFD09}" name="Toplam Proje Tutarı" totalsRowFunction="sum"/>
    <tableColumn id="4" xr3:uid="{74BE71F1-21B0-4D05-8475-2B36F3F816A2}" name="Önceki Yıllar Toplam Harcaması" totalsRowFunction="sum"/>
    <tableColumn id="5" xr3:uid="{206532F2-C512-4E73-A145-B1B6554BE4A3}" name="Yılı Harcama Tutarı" totalsRowFunction="sum"/>
    <tableColumn id="6" xr3:uid="{3AC3DE4E-160F-4A29-BC19-5A613738CD1C}" name="Toplam Harcama Tutarı" totalsRowFunction="sum"/>
    <tableColumn id="7" xr3:uid="{06F7377B-F4C1-4F6E-9DB8-0B84095A55D9}" name="Nakdi Gerçekleşme Oranı"/>
    <tableColumn id="8" xr3:uid="{1A6C9B12-E77C-453D-9C8B-E617ACBE7947}" name="Dönem Nakdi Gerçekleşme Oranı"/>
    <tableColumn id="9" xr3:uid="{FB77789A-F5BC-4B18-8779-E7C8347D8537}" name="Yılı Harcama Oranı"/>
    <tableColumn id="10" xr3:uid="{322D402C-6938-4EB6-8536-41FC0A91A083}" name="Fiziki Gerçekleşme Oranı"/>
    <tableColumn id="12" xr3:uid="{2EDEF782-067A-4761-B601-CA2F87BE474C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3730225-71EA-42E9-9DBA-3A2DCEAEA6E7}" name="Table129" displayName="Table129" ref="A3:K10" totalsRowCount="1" headerRowDxfId="42">
  <autoFilter ref="A3:K9" xr:uid="{037F6C2F-69F1-4433-ADF5-C6325BDE4656}"/>
  <tableColumns count="11">
    <tableColumn id="1" xr3:uid="{CE061C02-A8A1-4FEF-A2DB-B78131B93291}" name="Proje Adı" dataDxfId="41"/>
    <tableColumn id="2" xr3:uid="{B19D0713-0F2E-4E68-875D-96BA3B9A5D32}" name="Toplam Yıl Ödeneği" totalsRowFunction="sum"/>
    <tableColumn id="3" xr3:uid="{396F65E2-FA9D-477A-8845-5948ABAA77CE}" name="Toplam Proje Tutarı" totalsRowFunction="sum"/>
    <tableColumn id="4" xr3:uid="{2A4EDABD-8979-44EF-9CE5-AE87A61848CB}" name="Önceki Yıllar Toplam Harcaması" totalsRowFunction="sum"/>
    <tableColumn id="5" xr3:uid="{2BFE3CC6-9A0C-48BC-B46A-36262BBBFA6E}" name="Yılı Harcama Tutarı" totalsRowFunction="sum"/>
    <tableColumn id="6" xr3:uid="{B4251C5F-A45B-4085-99B9-4F8F9A4A67BF}" name="Toplam Harcama Tutarı" totalsRowFunction="sum"/>
    <tableColumn id="7" xr3:uid="{EEB8ED0F-1628-4786-A2F6-EE1D5D4B23A2}" name="Nakdi Gerçekleşme Oranı"/>
    <tableColumn id="8" xr3:uid="{D5877C17-CE3D-4083-9EC8-6A1FADAC331F}" name="Dönem Nakdi Gerçekleşme Oranı"/>
    <tableColumn id="9" xr3:uid="{662B5D4F-FAE8-4657-A679-2D20F413E717}" name="Yılı Harcama Oranı"/>
    <tableColumn id="10" xr3:uid="{EC467708-C230-448A-A180-B0539A2F6FC0}" name="Fiziki Gerçekleşme Oranı"/>
    <tableColumn id="12" xr3:uid="{1511B714-A554-4E01-9119-6509DF44E994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7020F03-5B18-42F7-AEA2-714A763B56F8}" name="Table117" displayName="Table117" ref="A3:K5" totalsRowCount="1" headerRowDxfId="40">
  <autoFilter ref="A3:K4" xr:uid="{00000000-0009-0000-0100-000001000000}"/>
  <tableColumns count="11">
    <tableColumn id="1" xr3:uid="{00000000-0010-0000-0000-000001000000}" name="Proje Adı" dataDxfId="39" totalsRowDxfId="38"/>
    <tableColumn id="2" xr3:uid="{00000000-0010-0000-0000-000002000000}" name="Toplam Yıl Ödeneği" totalsRowFunction="sum" dataDxfId="37" totalsRowDxfId="36"/>
    <tableColumn id="3" xr3:uid="{00000000-0010-0000-0000-000003000000}" name="Toplam Proje Tutarı" totalsRowFunction="sum" dataDxfId="35" totalsRowDxfId="34"/>
    <tableColumn id="4" xr3:uid="{00000000-0010-0000-0000-000004000000}" name="Önceki Yıllar Toplam Harcaması" totalsRowFunction="sum" dataDxfId="33" totalsRowDxfId="32"/>
    <tableColumn id="5" xr3:uid="{00000000-0010-0000-0000-000005000000}" name="Yılı Harcama Tutarı" totalsRowFunction="sum" dataDxfId="31" totalsRowDxfId="30"/>
    <tableColumn id="6" xr3:uid="{00000000-0010-0000-0000-000006000000}" name="Toplam Harcama Tutarı" totalsRowFunction="sum" dataDxfId="29" totalsRowDxfId="28"/>
    <tableColumn id="7" xr3:uid="{00000000-0010-0000-0000-000007000000}" name="Nakdi Gerçekleşme Oranı" dataDxfId="27"/>
    <tableColumn id="8" xr3:uid="{00000000-0010-0000-0000-000008000000}" name="Dönem Nakdi Gerçekleşme Oranı" dataDxfId="26"/>
    <tableColumn id="9" xr3:uid="{00000000-0010-0000-0000-000009000000}" name="Yılı Harcama Oranı" dataDxfId="25"/>
    <tableColumn id="10" xr3:uid="{00000000-0010-0000-0000-00000A000000}" name="Fiziki Gerçekleşme Oranı" dataDxfId="24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56B8DAE-09E5-4DA9-9447-576DE10ADDC7}" name="Table130" displayName="Table130" ref="A3:K34" totalsRowCount="1">
  <autoFilter ref="A3:K33" xr:uid="{A29033A5-4A8D-4196-9560-746F3CB6AA53}"/>
  <tableColumns count="11">
    <tableColumn id="1" xr3:uid="{519FCD2C-C2E6-440A-A3F2-ADE0AF4D308F}" name="Proje Adı" dataDxfId="23"/>
    <tableColumn id="2" xr3:uid="{760F9659-DA24-41B2-8A92-28614D2D7656}" name="Toplam Yıl Ödeneği" totalsRowFunction="sum"/>
    <tableColumn id="3" xr3:uid="{7E20C954-ECFA-49CF-B1BF-96C894434B18}" name="Toplam Proje Tutarı" totalsRowFunction="sum"/>
    <tableColumn id="4" xr3:uid="{72F765DD-D050-4DAB-BC43-CF16846ABE8F}" name="Önceki Yıllar Toplam Harcaması" totalsRowFunction="sum"/>
    <tableColumn id="5" xr3:uid="{CE582352-A33A-4BEF-88F1-6E79BDBC013D}" name="Yılı Harcama Tutarı" totalsRowFunction="sum"/>
    <tableColumn id="6" xr3:uid="{E59D34BA-D0EE-4C97-A76C-E83CED9FE7DF}" name="Toplam Harcama Tutarı" totalsRowFunction="sum"/>
    <tableColumn id="7" xr3:uid="{65A8633B-6AFE-47CC-B6C2-5BC999D10DAA}" name="Nakdi Gerçekleşme Oranı"/>
    <tableColumn id="8" xr3:uid="{AF2A1AE4-3A1F-4595-B074-B0FFADB7E4A6}" name="Dönem Nakdi Gerçekleşme Oranı"/>
    <tableColumn id="9" xr3:uid="{70B5A260-0486-4531-8DEB-738F7FACE1F0}" name="Yılı Harcama Oranı"/>
    <tableColumn id="10" xr3:uid="{B42FDE1D-F52D-46D5-8390-59729568E359}" name="Fiziki Gerçekleşme Oranı"/>
    <tableColumn id="12" xr3:uid="{59B89CA4-D3AC-4FB8-9C0C-1DFB6CD75A7E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7DDE291-7686-4F77-A910-0F8AA503086D}" name="Table131" displayName="Table131" ref="A3:K6" totalsRowCount="1">
  <autoFilter ref="A3:K5" xr:uid="{90C7FC0B-8553-45D9-BE90-A852F13E322A}"/>
  <tableColumns count="11">
    <tableColumn id="1" xr3:uid="{308CDD65-A87E-46C1-BC83-B048C08A8FF8}" name="Proje Adı" dataDxfId="22"/>
    <tableColumn id="2" xr3:uid="{3F3D1D78-9CB2-46C2-823D-506FC4BCCDEB}" name="Toplam Yıl Ödeneği" totalsRowFunction="sum"/>
    <tableColumn id="3" xr3:uid="{5F112DB1-A0D0-49BD-91D2-85322E6D0A86}" name="Toplam Proje Tutarı" totalsRowFunction="sum"/>
    <tableColumn id="4" xr3:uid="{D0936D16-F298-42E5-8EAE-A6265E3D91D9}" name="Önceki Yıllar Toplam Harcaması" totalsRowFunction="sum"/>
    <tableColumn id="5" xr3:uid="{F0765EBD-5FD3-4133-B524-76C81E5030C1}" name="Yılı Harcama Tutarı" totalsRowFunction="sum"/>
    <tableColumn id="6" xr3:uid="{7E79B5BF-A29F-4344-94CB-C7ECA9F7B0D8}" name="Toplam Harcama Tutarı" totalsRowFunction="sum"/>
    <tableColumn id="7" xr3:uid="{5768D076-79EF-4347-8052-24297122E7E1}" name="Nakdi Gerçekleşme Oranı"/>
    <tableColumn id="8" xr3:uid="{C9EB8A83-A610-4D36-9C76-462FFD59EE25}" name="Dönem Nakdi Gerçekleşme Oranı"/>
    <tableColumn id="9" xr3:uid="{40DC04E5-8057-4EBA-B51D-DC970DD8C1C5}" name="Yılı Harcama Oranı"/>
    <tableColumn id="10" xr3:uid="{15AC59FE-5BB0-4A82-A807-00ECD64EEAB5}" name="Fiziki Gerçekleşme Oranı"/>
    <tableColumn id="12" xr3:uid="{346E3DB6-0E8B-4D26-9E3D-8D9FD4737B0B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04A59BC-4AB3-4278-A6EF-F399C008BE69}" name="Table132" displayName="Table132" ref="A3:K7" totalsRowCount="1">
  <autoFilter ref="A3:K6" xr:uid="{90D1B473-C206-4296-8B90-D91571309A0F}"/>
  <tableColumns count="11">
    <tableColumn id="1" xr3:uid="{2DA69160-C1FB-4A04-A12B-86C90A122F5F}" name="Proje Adı" dataDxfId="21"/>
    <tableColumn id="2" xr3:uid="{AB3D8F88-3429-432E-A3B9-73DED65494C4}" name="Toplam Yıl Ödeneği" totalsRowFunction="sum"/>
    <tableColumn id="3" xr3:uid="{8BFCB013-BDF3-4187-9974-9EFD49F64728}" name="Toplam Proje Tutarı" totalsRowFunction="sum"/>
    <tableColumn id="4" xr3:uid="{E481369B-0EA8-4BA7-8F32-DA7F75400C6F}" name="Önceki Yıllar Toplam Harcaması" totalsRowFunction="sum"/>
    <tableColumn id="5" xr3:uid="{4FC63E5D-071E-4A02-85F2-C2D869E61E63}" name="Yılı Harcama Tutarı" totalsRowFunction="sum"/>
    <tableColumn id="6" xr3:uid="{0ED8C8E4-3F0D-45AA-B529-600960B6D4E8}" name="Toplam Harcama Tutarı" totalsRowFunction="sum"/>
    <tableColumn id="7" xr3:uid="{54B92C51-45E0-4DF3-99A8-1F9D0DB06B50}" name="Nakdi Gerçekleşme Oranı"/>
    <tableColumn id="8" xr3:uid="{E9DFE001-821C-4E71-BDE0-EE75FBA66355}" name="Dönem Nakdi Gerçekleşme Oranı"/>
    <tableColumn id="9" xr3:uid="{567DA47B-AB59-42FD-AE96-48CFCE85DEF7}" name="Yılı Harcama Oranı"/>
    <tableColumn id="10" xr3:uid="{048F486C-5A3D-45A2-B0A0-1FD1C2D0E6A2}" name="Fiziki Gerçekleşme Oranı"/>
    <tableColumn id="12" xr3:uid="{07EEDED0-AFE9-4BCC-94F9-8DE2DA347338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8A807AE-138B-46E5-BB49-F825472B5EB7}" name="Table133" displayName="Table133" ref="A3:K10" totalsRowCount="1">
  <autoFilter ref="A3:K9" xr:uid="{B9935238-6D68-4E1D-A3B2-E04603BB298F}"/>
  <tableColumns count="11">
    <tableColumn id="1" xr3:uid="{F84BDA36-3F98-4E15-A83D-E7C61AE657C4}" name="Proje Adı" dataDxfId="20"/>
    <tableColumn id="2" xr3:uid="{609CC010-7505-43A7-A84B-B510A1A172CF}" name="Toplam Yıl Ödeneği" totalsRowFunction="sum"/>
    <tableColumn id="3" xr3:uid="{B8943E17-957B-457B-A345-8443035ACC61}" name="Toplam Proje Tutarı" totalsRowFunction="sum"/>
    <tableColumn id="4" xr3:uid="{6460E197-95C9-45C9-A156-2ADE6C097B5D}" name="Önceki Yıllar Toplam Harcaması" totalsRowFunction="sum"/>
    <tableColumn id="5" xr3:uid="{D9B89A1B-0B77-43D9-A377-8EDC52767C59}" name="Yılı Harcama Tutarı" totalsRowFunction="sum"/>
    <tableColumn id="6" xr3:uid="{0D704321-F2AA-4AC9-9E75-579595A10B6D}" name="Toplam Harcama Tutarı" totalsRowFunction="sum"/>
    <tableColumn id="7" xr3:uid="{2A618CE4-F7B7-4927-8C01-55DD0730419B}" name="Nakdi Gerçekleşme Oranı"/>
    <tableColumn id="8" xr3:uid="{75EA3029-9B08-4912-8A8B-4E5B0640CC35}" name="Dönem Nakdi Gerçekleşme Oranı"/>
    <tableColumn id="9" xr3:uid="{7C57A871-BE4B-421F-B8BC-EC1C7923590A}" name="Yılı Harcama Oranı"/>
    <tableColumn id="10" xr3:uid="{28A79D0D-BB96-4A0D-8328-6DB4F933D6CA}" name="Fiziki Gerçekleşme Oranı"/>
    <tableColumn id="12" xr3:uid="{8B742AA0-B593-47CF-AA13-DE47C3146AC6}" name="İlçe Adı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975D81E-5876-4F86-BA43-76BEDB1D9CE0}" name="Table134" displayName="Table134" ref="A3:K8" totalsRowCount="1">
  <autoFilter ref="A3:K7" xr:uid="{C98172F2-C8EA-43CA-BF98-2F0F811F0F7E}"/>
  <tableColumns count="11">
    <tableColumn id="1" xr3:uid="{213684D5-1FFC-4B86-B0C7-460EB1071B33}" name="Proje Adı" dataDxfId="19"/>
    <tableColumn id="2" xr3:uid="{8D5ECFE6-3A2D-45D1-AC81-B9078DA27A95}" name="Toplam Yıl Ödeneği" totalsRowFunction="sum" totalsRowDxfId="18"/>
    <tableColumn id="3" xr3:uid="{D251F345-BDFF-4324-BFFA-B5A5F9A276CB}" name="Toplam Proje Tutarı" totalsRowFunction="sum" totalsRowDxfId="17"/>
    <tableColumn id="4" xr3:uid="{4502203C-A131-4C50-97D9-B468F9374FC6}" name="Önceki Yıllar Toplam Harcaması" totalsRowFunction="sum" totalsRowDxfId="16"/>
    <tableColumn id="5" xr3:uid="{C832BEAA-4050-444B-91D0-02A28265D943}" name="Yılı Harcama Tutarı" totalsRowFunction="sum" totalsRowDxfId="15"/>
    <tableColumn id="6" xr3:uid="{A3B6A024-C492-4914-84A6-6778C7553AE3}" name="Toplam Harcama Tutarı" totalsRowFunction="sum" totalsRowDxfId="14"/>
    <tableColumn id="7" xr3:uid="{41ED1CDF-B078-474E-8E67-6DAAE45053FD}" name="Nakdi Gerçekleşme Oranı"/>
    <tableColumn id="8" xr3:uid="{9E905D46-B272-4D5B-9A40-EADD9B4AC30E}" name="Dönem Nakdi Gerçekleşme Oranı"/>
    <tableColumn id="9" xr3:uid="{A64E9D10-1B8F-4694-AC7E-E3E441D830B3}" name="Yılı Harcama Oranı"/>
    <tableColumn id="10" xr3:uid="{0B025966-5819-4B27-B584-2D129DD09AE5}" name="Fiziki Gerçekleşme Oranı"/>
    <tableColumn id="12" xr3:uid="{7AB43D2A-C874-4CD1-9F94-AF5CC49A72E8}" name="İlçe Adı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717D582-149A-47EB-8E79-92C7A7DD138B}" name="Table135" displayName="Table135" ref="A3:K6" totalsRowCount="1">
  <autoFilter ref="A3:K5" xr:uid="{A4894655-38E2-420B-9E26-958947BFAC92}"/>
  <tableColumns count="11">
    <tableColumn id="1" xr3:uid="{95A11969-817E-4CFC-9A6F-85E6C9769A4A}" name="Proje Adı" dataDxfId="13"/>
    <tableColumn id="2" xr3:uid="{AC378E18-4EE7-445A-BE50-067BE0330483}" name="Toplam Yıl Ödeneği" totalsRowFunction="sum"/>
    <tableColumn id="3" xr3:uid="{7ABC744C-D58C-42F2-963E-7B79F1AA068C}" name="Toplam Proje Tutarı" totalsRowFunction="sum"/>
    <tableColumn id="4" xr3:uid="{B361305F-62E1-44EC-88D2-13D536A8651C}" name="Önceki Yıllar Toplam Harcaması" totalsRowFunction="sum"/>
    <tableColumn id="5" xr3:uid="{90E9B903-8B2D-498F-AB15-F229764DBC2E}" name="Yılı Harcama Tutarı" totalsRowFunction="sum"/>
    <tableColumn id="6" xr3:uid="{D39A6C0D-8A6D-488A-AAFE-DC835ACC7B0C}" name="Toplam Harcama Tutarı" totalsRowFunction="sum"/>
    <tableColumn id="7" xr3:uid="{56E74A14-7B22-4E36-B654-0E483B80808E}" name="Nakdi Gerçekleşme Oranı"/>
    <tableColumn id="8" xr3:uid="{A2FD9BDC-488D-405C-9ECB-F9F54C4A1356}" name="Dönem Nakdi Gerçekleşme Oranı"/>
    <tableColumn id="9" xr3:uid="{DE322E95-C263-458B-9C33-EBF703B318FA}" name="Yılı Harcama Oranı"/>
    <tableColumn id="10" xr3:uid="{5914B765-E26E-406F-BA23-EE9E2866A660}" name="Fiziki Gerçekleşme Oranı"/>
    <tableColumn id="12" xr3:uid="{2FF27198-BCDC-4463-9486-CBB6C2C2277A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BDDB95-73BD-4D66-B884-31DC0926A2D6}" name="Table13" displayName="Table13" ref="A3:K6" totalsRowCount="1">
  <autoFilter ref="A3:K5" xr:uid="{5D7F8D4A-44B1-431A-B45A-D6D028B2DF7D}"/>
  <tableColumns count="11">
    <tableColumn id="1" xr3:uid="{E3D95064-C2AB-4F8A-955E-9CA6C9859860}" name="Yatırımcı Kuruluş" dataDxfId="91"/>
    <tableColumn id="2" xr3:uid="{08D092F2-F6A2-49D0-9D05-C5761BC12F0E}" name="Proje Sayısı" totalsRowFunction="sum" totalsRowDxfId="8"/>
    <tableColumn id="3" xr3:uid="{73D80D93-E547-4133-8865-CDACFB6BE0BA}" name="Toplam Yıl Ödeneği" totalsRowFunction="sum" totalsRowDxfId="7"/>
    <tableColumn id="4" xr3:uid="{537C5A37-6886-4047-B0BE-E72E324D03DE}" name="Toplam Proje Tutarı" totalsRowFunction="sum" totalsRowDxfId="6"/>
    <tableColumn id="5" xr3:uid="{0679D182-341C-4CBC-89B2-58247CD7BED3}" name="Önceki Yıllar Toplam Harcaması" totalsRowFunction="sum" totalsRowDxfId="5"/>
    <tableColumn id="6" xr3:uid="{C433986B-5567-4D04-8135-B10461F30A02}" name="Yılı Harcama Tutarı" totalsRowFunction="sum" totalsRowDxfId="4"/>
    <tableColumn id="7" xr3:uid="{E914AD5B-175A-42F0-8E51-F05BAEF7F9F2}" name="Toplam Harcama Tutarı" totalsRowFunction="sum" totalsRowDxfId="3"/>
    <tableColumn id="8" xr3:uid="{0559B244-5D5D-48F8-93C6-0607733984E8}" name="Nakdi Gerçekleşme Oranı" totalsRowLabel="%24.66" dataDxfId="90" totalsRowDxfId="2"/>
    <tableColumn id="9" xr3:uid="{BDFE0E57-566B-410E-BDAA-2C29D5FD0968}" name="Dönem Nakdi Gerçekleşme Oranı" totalsRowLabel="%22.88" dataDxfId="89" totalsRowDxfId="1"/>
    <tableColumn id="10" xr3:uid="{BF47D88C-2D2D-4D2E-AC74-13772E97AF8C}" name="Yılı Harcama Oranı" totalsRowLabel="%22.88" dataDxfId="88" totalsRowDxfId="0"/>
    <tableColumn id="11" xr3:uid="{F1E68966-E2E1-427F-A6AE-C2A9915AD3CD}" name="Fiziki Gerçekleşme Oranı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79356D6-E212-421B-B085-BBED16049C4A}" name="Table136" displayName="Table136" ref="A3:K8" totalsRowCount="1">
  <autoFilter ref="A3:K7" xr:uid="{7417311F-983B-4500-B9CE-0C4E2564008C}"/>
  <tableColumns count="11">
    <tableColumn id="1" xr3:uid="{C65AA95F-9155-45B7-A2C5-741427AC9F58}" name="Proje Adı" dataDxfId="12"/>
    <tableColumn id="2" xr3:uid="{84770393-1851-4D5C-8098-FD946EEC7441}" name="Toplam Yıl Ödeneği" totalsRowFunction="sum"/>
    <tableColumn id="3" xr3:uid="{FAAB5BC6-8F32-4484-BE57-6586296CF69C}" name="Toplam Proje Tutarı" totalsRowFunction="sum"/>
    <tableColumn id="4" xr3:uid="{C5D68857-D2F7-46FE-A931-1D59149052D4}" name="Önceki Yıllar Toplam Harcaması" totalsRowFunction="sum"/>
    <tableColumn id="5" xr3:uid="{AE804343-4F48-445B-8D2C-3D3A86A34905}" name="Yılı Harcama Tutarı" totalsRowFunction="sum"/>
    <tableColumn id="6" xr3:uid="{ABF3D87F-DF65-4872-A164-40C466925E99}" name="Toplam Harcama Tutarı" totalsRowFunction="sum"/>
    <tableColumn id="7" xr3:uid="{FE3FD9E0-F433-462F-9A0A-91EA96663A73}" name="Nakdi Gerçekleşme Oranı"/>
    <tableColumn id="8" xr3:uid="{0C61A526-8A30-4404-8EE0-5CBF9F10CDD5}" name="Dönem Nakdi Gerçekleşme Oranı"/>
    <tableColumn id="9" xr3:uid="{79297512-1519-4922-B250-32B5C8456B3A}" name="Yılı Harcama Oranı"/>
    <tableColumn id="10" xr3:uid="{28307EF5-B576-4C3A-BF9B-9232929286E1}" name="Fiziki Gerçekleşme Oranı"/>
    <tableColumn id="12" xr3:uid="{B2CDCAB3-224A-45F6-A479-1EF17E32A12E}" name="İlçe Adı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3D8A682-07C8-435D-A395-0757227C8D3D}" name="Table137" displayName="Table137" ref="A3:K16" totalsRowCount="1">
  <autoFilter ref="A3:K15" xr:uid="{3D7DE123-A5E6-461E-A41D-B55988F9B3C7}"/>
  <tableColumns count="11">
    <tableColumn id="1" xr3:uid="{5AC0CA72-0F16-4324-9683-CF8B7269AA2F}" name="Proje Adı" dataDxfId="11"/>
    <tableColumn id="2" xr3:uid="{8131CC17-F04A-41A6-813B-AB6DBA9AED43}" name="Toplam Yıl Ödeneği" totalsRowFunction="sum"/>
    <tableColumn id="3" xr3:uid="{63DF7C60-D9EF-4EFC-A70C-0A69C13C7C0D}" name="Toplam Proje Tutarı" totalsRowFunction="sum"/>
    <tableColumn id="4" xr3:uid="{71C04621-8731-41F5-97DF-76594DA54655}" name="Önceki Yıllar Toplam Harcaması" totalsRowFunction="sum"/>
    <tableColumn id="5" xr3:uid="{ABDDE4C2-A919-4930-B417-CE01E56E5796}" name="Yılı Harcama Tutarı" totalsRowFunction="sum"/>
    <tableColumn id="6" xr3:uid="{257FE48F-276D-4D4B-A4C9-62798374F201}" name="Toplam Harcama Tutarı" totalsRowFunction="sum"/>
    <tableColumn id="7" xr3:uid="{7E774412-6B56-4AB5-A3BF-079479834233}" name="Nakdi Gerçekleşme Oranı"/>
    <tableColumn id="8" xr3:uid="{511AEBEE-CEB5-4514-B0BD-1B8F29850F3A}" name="Dönem Nakdi Gerçekleşme Oranı"/>
    <tableColumn id="9" xr3:uid="{43D1E2F2-6216-438F-8ACC-DEAE3D5B8E5D}" name="Yılı Harcama Oranı"/>
    <tableColumn id="10" xr3:uid="{5CF9388F-C388-4338-8F1D-DA5474363D3D}" name="Fiziki Gerçekleşme Oranı"/>
    <tableColumn id="12" xr3:uid="{AD20C5F2-2C11-4A9D-B36C-FBFB8261C9F5}" name="İlçe Adı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A2DEBF3-FFA9-4684-93B0-80E4CCE7B9C0}" name="Table138" displayName="Table138" ref="A3:K18" totalsRowCount="1">
  <autoFilter ref="A3:K17" xr:uid="{997346D1-371A-43DA-AF39-D7533C3E0386}"/>
  <tableColumns count="11">
    <tableColumn id="1" xr3:uid="{B554EF50-C343-4196-B1BF-44D5A5E02769}" name="Proje Adı" dataDxfId="10"/>
    <tableColumn id="2" xr3:uid="{A60359ED-8EEF-4134-B3AA-50E29C5B2F7F}" name="Toplam Yıl Ödeneği" totalsRowFunction="sum"/>
    <tableColumn id="3" xr3:uid="{B9D2B4E8-7C1D-4572-882E-18285C79A1B9}" name="Toplam Proje Tutarı" totalsRowFunction="sum"/>
    <tableColumn id="4" xr3:uid="{3DEC6EBE-2BEE-4360-AF2B-BB1A53686C7B}" name="Önceki Yıllar Toplam Harcaması" totalsRowFunction="sum"/>
    <tableColumn id="5" xr3:uid="{D48F1EF5-DB04-4FD1-A8B6-7FC16D6BD02F}" name="Yılı Harcama Tutarı" totalsRowFunction="sum"/>
    <tableColumn id="6" xr3:uid="{EC18C5D9-AA0C-4A35-AE5C-AD60E1D38136}" name="Toplam Harcama Tutarı" totalsRowFunction="sum"/>
    <tableColumn id="7" xr3:uid="{961AA62F-404A-4B32-8619-6C1665E54D78}" name="Nakdi Gerçekleşme Oranı"/>
    <tableColumn id="8" xr3:uid="{49928238-55E6-4F3D-A877-9346E9EA97A1}" name="Dönem Nakdi Gerçekleşme Oranı"/>
    <tableColumn id="9" xr3:uid="{99552276-8874-4BAC-8CEE-6F3B0D04C75D}" name="Yılı Harcama Oranı"/>
    <tableColumn id="10" xr3:uid="{A35F7D1A-7AD5-4622-81AB-9751C88E16AC}" name="Fiziki Gerçekleşme Oranı"/>
    <tableColumn id="12" xr3:uid="{4E266F58-8938-43E0-94F7-FC98638DDC84}" name="İlçe Adı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456693C-EFFC-4517-B6F0-9569D3EAA0A4}" name="Table139" displayName="Table139" ref="A3:K16" totalsRowCount="1">
  <autoFilter ref="A3:K15" xr:uid="{86903C31-CEB8-4EBB-A388-ECC3FD1E9057}"/>
  <tableColumns count="11">
    <tableColumn id="1" xr3:uid="{7B94E17F-11EC-44F5-9D9F-560D5C5C533C}" name="Proje Adı" dataDxfId="9"/>
    <tableColumn id="2" xr3:uid="{ABE03928-CFEF-4325-AF63-6D90E5B20F0E}" name="Toplam Yıl Ödeneği" totalsRowFunction="sum"/>
    <tableColumn id="3" xr3:uid="{48D857BA-565A-48C0-BE00-044474C79CC4}" name="Toplam Proje Tutarı" totalsRowFunction="sum"/>
    <tableColumn id="4" xr3:uid="{16B0654F-57FA-48BE-9583-5A27B0F337D0}" name="Önceki Yıllar Toplam Harcaması" totalsRowFunction="sum"/>
    <tableColumn id="5" xr3:uid="{DB5DA887-1642-452C-8503-9B737A719BC9}" name="Yılı Harcama Tutarı" totalsRowFunction="sum"/>
    <tableColumn id="6" xr3:uid="{06557E62-20AA-4554-9C2F-01B41CB5BAB7}" name="Toplam Harcama Tutarı" totalsRowFunction="sum"/>
    <tableColumn id="7" xr3:uid="{26333621-AD8F-4042-BF09-E6ADEC0E5B90}" name="Nakdi Gerçekleşme Oranı"/>
    <tableColumn id="8" xr3:uid="{26EF75D0-54D3-4E88-9F9C-3845DC7C5992}" name="Dönem Nakdi Gerçekleşme Oranı"/>
    <tableColumn id="9" xr3:uid="{773314F3-60B0-4478-8077-43776E108BB5}" name="Yılı Harcama Oranı"/>
    <tableColumn id="10" xr3:uid="{E8C97FCF-1EF5-4D44-ACA5-53FEC2769867}" name="Fiziki Gerçekleşme Oranı"/>
    <tableColumn id="12" xr3:uid="{10A18A75-6FB5-496D-85B1-9E7E75027802}" name="İlçe Ad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89AE3A-DD74-4855-BD42-D4EFCFEAD35F}" name="Table1" displayName="Table1" ref="A3:J14" totalsRowCount="1">
  <autoFilter ref="A3:J13" xr:uid="{F9D9122E-B038-4AEA-A014-975D7B34A2CB}"/>
  <tableColumns count="10">
    <tableColumn id="1" xr3:uid="{DE667680-7E75-4EBA-B12E-24611F0934C1}" name="İlçe"/>
    <tableColumn id="2" xr3:uid="{540F4DB7-27BB-42D8-8B93-D88EC36BD3A3}" name="Proje Sayısı" totalsRowFunction="sum" totalsRowDxfId="87"/>
    <tableColumn id="3" xr3:uid="{34738209-305B-43A1-B070-151C4BB38BAE}" name="Toplam Yıl Ödeneği" totalsRowFunction="sum" totalsRowDxfId="86"/>
    <tableColumn id="4" xr3:uid="{201D3124-F8DC-407F-9603-C703F9F963BF}" name="Toplam Proje Tutarı" totalsRowFunction="sum" totalsRowDxfId="85"/>
    <tableColumn id="5" xr3:uid="{FFA801DB-1B4E-43B8-A038-5E67BB064624}" name="Önceki Yıllar Toplam Harcaması" totalsRowFunction="sum" totalsRowDxfId="84"/>
    <tableColumn id="6" xr3:uid="{3440331B-E84E-4184-AEAA-64B8A16072C5}" name="Yılı Harcama Tutarı" totalsRowFunction="sum" totalsRowDxfId="83"/>
    <tableColumn id="7" xr3:uid="{9059D7A9-F147-42D3-91B3-22BA97105E81}" name="Toplam Harcama Tutarı" totalsRowFunction="sum" totalsRowDxfId="82"/>
    <tableColumn id="8" xr3:uid="{AF66B1D9-24E9-4DFC-AE68-FD5AA33F3963}" name="Nakdi Gerçekleşme Oranı" totalsRowLabel="% 38.50" dataDxfId="81"/>
    <tableColumn id="9" xr3:uid="{FDA21284-2B1E-4EA2-A3E6-428C10F4CD53}" name="Yılı Harcama Oranı" totalsRowLabel="% 27.23" dataDxfId="80"/>
    <tableColumn id="10" xr3:uid="{34AE06E4-E774-4D6A-9C6D-ABBF16E0ADBD}" name="Fiziki Gerçekleşme Oran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A02537-F555-4059-869C-4A02CAD31D14}" name="Table15" displayName="Table15" ref="A3:J13" totalsRowCount="1" headerRowDxfId="79">
  <autoFilter ref="A3:J12" xr:uid="{F5C6F514-4D98-440B-8B7D-873B860D566B}"/>
  <tableColumns count="10">
    <tableColumn id="1" xr3:uid="{D32B693C-A588-4BA3-BF5A-D486C7C827A3}" name="Proje Sektörü" totalsRowLabel="TOPLAM" dataDxfId="78"/>
    <tableColumn id="2" xr3:uid="{FD196EE2-2374-4C55-9072-1CDC4642ED85}" name="Proje Sayısı" totalsRowFunction="sum" totalsRowDxfId="77"/>
    <tableColumn id="3" xr3:uid="{FDE43452-BAE1-4EC3-89E6-922368516B5A}" name="Toplam Yıl Ödeneği" totalsRowFunction="sum" totalsRowDxfId="76"/>
    <tableColumn id="4" xr3:uid="{9CAE918B-F286-4B43-A3B5-FF05252D17BE}" name="Toplam Proje Tutarı" totalsRowFunction="sum" totalsRowDxfId="75"/>
    <tableColumn id="5" xr3:uid="{C637E962-7072-431F-977E-903220FD7CA9}" name="Önceki Yıllar Toplam Harcaması" totalsRowFunction="sum" totalsRowDxfId="74"/>
    <tableColumn id="6" xr3:uid="{62AFD9A1-EE7D-4132-B14D-3679E273C4D0}" name="Yılı Harcama Tutarı" totalsRowFunction="sum" totalsRowDxfId="73"/>
    <tableColumn id="7" xr3:uid="{41F8DE38-396F-427C-95E4-D186D9693460}" name="Toplam Harcama Tutarı" totalsRowFunction="sum" totalsRowDxfId="72"/>
    <tableColumn id="8" xr3:uid="{D3B1AC3E-9A3D-41C4-A059-A7A1BE5260E4}" name="Nakdi Gerçekleşme Oranı" totalsRowLabel="% 38.50"/>
    <tableColumn id="9" xr3:uid="{95DA3544-C5C9-4721-A121-25E52D076BD3}" name="Yılı Harcama Oranı" totalsRowLabel="% 27.23" dataDxfId="71"/>
    <tableColumn id="10" xr3:uid="{1C22CE1A-9071-425A-BB53-F5087F50375A}" name="Fiziki Gerçekleşme Oranı" dataDxfId="7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D3C408-973A-4FCB-9F3E-C0030CE602E9}" name="Table16" displayName="Table16" ref="A3:K4">
  <autoFilter ref="A3:K4" xr:uid="{F560C594-0703-41FE-BD9C-6ECDDFD154EA}"/>
  <tableColumns count="11">
    <tableColumn id="1" xr3:uid="{53380006-94C7-4642-AF70-224C6D667A53}" name="Proje Sahibi Kuruluş" dataDxfId="69"/>
    <tableColumn id="2" xr3:uid="{6D1C067A-1CCF-4574-A318-D765851CC9A5}" name="Proje Sayısı"/>
    <tableColumn id="3" xr3:uid="{2C4A7ED1-E528-47B0-A700-812312BD3943}" name="Toplam Yıl Ödeneği"/>
    <tableColumn id="4" xr3:uid="{65219A53-D5DA-434F-87BF-C9DB4A2F0F8A}" name="Toplam Proje Tutarı"/>
    <tableColumn id="5" xr3:uid="{4BFB32CF-E777-47E1-957F-8E3ACF92BAB7}" name="Önceki Yıllar Toplam Harcaması"/>
    <tableColumn id="6" xr3:uid="{BA98D2EF-C455-43F5-9981-53379651E9CA}" name="Yılı Harcama Tutarı"/>
    <tableColumn id="7" xr3:uid="{7B9EAC7A-478C-4E45-861A-688DBCC5F1DA}" name="Toplam Harcama Tutarı"/>
    <tableColumn id="8" xr3:uid="{6B4E1FD2-E6A8-40DC-B4B4-9541A26B7D3C}" name="Nakdi Gerçekleşme Oranı"/>
    <tableColumn id="9" xr3:uid="{1D6AF218-92B4-481B-9221-9105E2F175A0}" name="Dönem Nakdi Gerçekleşme Oranı"/>
    <tableColumn id="10" xr3:uid="{50EDB5AE-49AB-4FFF-921E-28AD215A9D0B}" name="Yılı Harcama Oranı"/>
    <tableColumn id="11" xr3:uid="{E25B7DDB-73D6-4D2A-B95C-E16BE06068B4}" name="Fiziki Gerçekleşme Oran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4276347-1B77-4EC8-946D-134697A83A70}" name="Table123" displayName="Table123" ref="A3:K11" totalsRowCount="1">
  <autoFilter ref="A3:K10" xr:uid="{7E1A1E57-B911-41D0-BB9E-12F791451468}"/>
  <tableColumns count="11">
    <tableColumn id="1" xr3:uid="{04F92156-9BBD-47FF-B61C-8251E6DF3759}" name="Proje Adı" dataDxfId="68"/>
    <tableColumn id="2" xr3:uid="{95C8D161-E747-4167-BEEB-64B03465BE5B}" name="Toplam Yıl Ödeneği" totalsRowFunction="sum" totalsRowDxfId="67"/>
    <tableColumn id="3" xr3:uid="{96DDFC4D-0E75-4E68-A0A0-FA736632CAF2}" name="Toplam Proje Tutarı" totalsRowFunction="sum" totalsRowDxfId="66"/>
    <tableColumn id="4" xr3:uid="{77D6FD3E-93F8-4A90-A303-242B4570CF77}" name="Önceki Yıllar Toplam Harcaması" totalsRowFunction="sum" totalsRowDxfId="65"/>
    <tableColumn id="5" xr3:uid="{B82A5C9E-6A32-43FD-BF1B-EBB3542EB4E3}" name="Yılı Harcama Tutarı" totalsRowFunction="sum" totalsRowDxfId="64"/>
    <tableColumn id="6" xr3:uid="{B26DB5C5-8C66-43A1-AD62-561E82E655C9}" name="Toplam Harcama Tutarı" totalsRowFunction="sum" totalsRowDxfId="63"/>
    <tableColumn id="7" xr3:uid="{591D932F-E3FD-45D1-B4FA-01AFF410F865}" name="Nakdi Gerçekleşme Oranı"/>
    <tableColumn id="8" xr3:uid="{924AAE9D-8F0D-4235-B412-AF86850C12E4}" name="Dönem Nakdi Gerçekleşme Oranı"/>
    <tableColumn id="9" xr3:uid="{B0446143-4445-4754-A324-2F8917350FE4}" name="Yılı Harcama Oranı"/>
    <tableColumn id="10" xr3:uid="{49D1DD2E-6ADE-428D-9D3C-60B538843C39}" name="Fiziki Gerçekleşme Oranı"/>
    <tableColumn id="12" xr3:uid="{FBED64DC-67CC-40FF-B82F-F862321233C6}" name="İlçe Adı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EC6A1D4-333E-4557-B184-928F0EFB94CB}" name="Table124" displayName="Table124" ref="A2:K154" totalsRowCount="1" headerRowDxfId="62">
  <autoFilter ref="A2:K153" xr:uid="{9F701E37-7E87-411A-8E18-986B0C74FAA6}"/>
  <tableColumns count="11">
    <tableColumn id="1" xr3:uid="{D89DACAE-2616-467C-8B0C-5782FEE8B736}" name="Proje Adı" dataDxfId="61"/>
    <tableColumn id="2" xr3:uid="{68B19D96-33AD-4AD8-9CAC-D3E208F16635}" name="Toplam Yıl Ödeneği" totalsRowFunction="sum" totalsRowDxfId="60"/>
    <tableColumn id="3" xr3:uid="{29F5AD58-C3AF-42E7-B622-352AB634FB06}" name="Toplam Proje Tutarı" totalsRowFunction="sum" totalsRowDxfId="59"/>
    <tableColumn id="4" xr3:uid="{A6916D43-BF94-4893-A5E3-A3A88446E10D}" name="Önceki Yıllar Toplam Harcaması" totalsRowFunction="sum" totalsRowDxfId="58"/>
    <tableColumn id="5" xr3:uid="{EF599A68-EF47-4BAF-BB3B-A7DF552C06AD}" name="Yılı Harcama Tutarı" totalsRowFunction="sum" totalsRowDxfId="57"/>
    <tableColumn id="6" xr3:uid="{65FFC3FA-D3AB-48EC-AE00-137C4BD9720D}" name="Toplam Harcama Tutarı" totalsRowFunction="sum" totalsRowDxfId="56"/>
    <tableColumn id="7" xr3:uid="{11ED984A-BFEC-49F5-8619-C5FF4EC7D6B9}" name="Nakdi Gerçekleşme Oranı" totalsRowLabel="12,00%" dataDxfId="55" totalsRowDxfId="54"/>
    <tableColumn id="8" xr3:uid="{722DA481-6A81-4466-9D27-85943C4A9565}" name="Dönem Nakdi Gerçekleşme Oranı" totalsRowLabel="14,80%" totalsRowDxfId="53"/>
    <tableColumn id="9" xr3:uid="{4527F123-2644-490E-98B6-8F53756A5052}" name="Yılı Harcama Oranı" totalsRowLabel="14,80%" dataDxfId="52" totalsRowDxfId="51"/>
    <tableColumn id="10" xr3:uid="{60D4C5CE-AADE-4377-99A8-930AF2C97469}" name="Fiziki Gerçekleşme Oranı"/>
    <tableColumn id="12" xr3:uid="{8F2948C2-5784-4CA5-B240-D0C6C03792DE}" name="İlçe Ad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FCE91FF-C374-4A89-8001-DEC8BB43A01F}" name="Table125" displayName="Table125" ref="A3:K48" totalsRowCount="1">
  <autoFilter ref="A3:K47" xr:uid="{3C705631-AB4A-4C5F-9951-0B142821E707}"/>
  <tableColumns count="11">
    <tableColumn id="1" xr3:uid="{731A1F42-D8BE-4C89-A90C-EAFA1D715215}" name="Proje Adı" dataDxfId="50"/>
    <tableColumn id="2" xr3:uid="{B003C9AA-3794-49B8-A27E-1117EA9B969A}" name="Toplam Yıl Ödeneği" totalsRowFunction="sum" totalsRowDxfId="49"/>
    <tableColumn id="3" xr3:uid="{E8C379B6-F6A8-44F5-88A1-456770B58AA0}" name="Toplam Proje Tutarı" totalsRowFunction="sum" totalsRowDxfId="48"/>
    <tableColumn id="4" xr3:uid="{BC50886D-1E17-415A-83FE-0EC0D1A23D66}" name="Önceki Yıllar Toplam Harcaması" totalsRowFunction="sum" totalsRowDxfId="47"/>
    <tableColumn id="5" xr3:uid="{ABCDB576-045E-422A-A7B1-6DACC49CD851}" name="Yılı Harcama Tutarı" totalsRowFunction="sum" totalsRowDxfId="46"/>
    <tableColumn id="6" xr3:uid="{74B97640-69CA-4F9F-82EE-5896E8FEB8D1}" name="Toplam Harcama Tutarı" totalsRowFunction="sum" totalsRowDxfId="45"/>
    <tableColumn id="7" xr3:uid="{42EC40B1-793D-47E6-8D71-627CCF67121C}" name="Nakdi Gerçekleşme Oranı"/>
    <tableColumn id="8" xr3:uid="{D924B777-E227-44C8-90A7-36BF1F640D7B}" name="Dönem Nakdi Gerçekleşme Oranı"/>
    <tableColumn id="9" xr3:uid="{5F3225CD-C07C-4BBE-B9F8-98163621F62F}" name="Yılı Harcama Oranı"/>
    <tableColumn id="10" xr3:uid="{BEEE26A8-0ABE-4D20-BC7E-546A14E8E6C7}" name="Fiziki Gerçekleşme Oranı"/>
    <tableColumn id="12" xr3:uid="{8BB9A4B5-22BE-4731-80CC-59581DBC45DE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92C7D2D-F3B0-4C6F-A785-43D0CFC55B28}" name="Table126" displayName="Table126" ref="A3:K29" totalsRowCount="1">
  <autoFilter ref="A3:K28" xr:uid="{D49C36B9-B965-41BB-ABBF-91E611D1A879}"/>
  <tableColumns count="11">
    <tableColumn id="1" xr3:uid="{7E776485-003C-4817-96C9-66890B33DFF8}" name="Proje Adı" dataDxfId="44"/>
    <tableColumn id="2" xr3:uid="{7D0388C1-3EAF-4E13-A261-AEC003317D1B}" name="Toplam Yıl Ödeneği" totalsRowFunction="sum"/>
    <tableColumn id="3" xr3:uid="{B5348D69-AF8F-4FA0-BC73-138214C3E2FE}" name="Toplam Proje Tutarı" totalsRowFunction="sum"/>
    <tableColumn id="4" xr3:uid="{31D6CC60-4544-425F-BF84-F85A5B0CAC10}" name="Önceki Yıllar Toplam Harcaması" totalsRowFunction="sum"/>
    <tableColumn id="5" xr3:uid="{2AEC33C7-EB87-4841-8222-9D3648A9EF72}" name="Yılı Harcama Tutarı" totalsRowFunction="sum"/>
    <tableColumn id="6" xr3:uid="{B5D1DEBC-4EFA-4841-95FF-DAFFACB392B4}" name="Toplam Harcama Tutarı" totalsRowFunction="sum"/>
    <tableColumn id="7" xr3:uid="{B27424C0-EFF8-41F9-A00C-0C9C0D54CCA6}" name="Nakdi Gerçekleşme Oranı"/>
    <tableColumn id="8" xr3:uid="{48EB71A7-9B67-4AC1-903D-37A16D20E679}" name="Dönem Nakdi Gerçekleşme Oranı"/>
    <tableColumn id="9" xr3:uid="{DAD604C1-F228-4C6A-B0D9-BC459865B7C0}" name="Yılı Harcama Oranı"/>
    <tableColumn id="10" xr3:uid="{9B933871-4124-42B5-B18A-F1F97AF99DB8}" name="Fiziki Gerçekleşme Oranı"/>
    <tableColumn id="12" xr3:uid="{EA9BF7EB-77B5-4476-89A9-E43B732BF22A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opLeftCell="A16" workbookViewId="0">
      <selection activeCell="D29" sqref="D29"/>
    </sheetView>
  </sheetViews>
  <sheetFormatPr defaultRowHeight="15" x14ac:dyDescent="0.25"/>
  <cols>
    <col min="1" max="1" width="39.140625" customWidth="1"/>
    <col min="2" max="2" width="7.7109375" customWidth="1"/>
    <col min="3" max="3" width="12.7109375" customWidth="1"/>
    <col min="4" max="5" width="14.28515625" customWidth="1"/>
    <col min="6" max="6" width="12.85546875" customWidth="1"/>
    <col min="7" max="7" width="12.5703125" customWidth="1"/>
  </cols>
  <sheetData>
    <row r="1" spans="1:11" x14ac:dyDescent="0.25">
      <c r="A1" s="8" t="s">
        <v>228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30" x14ac:dyDescent="0.25">
      <c r="A4" s="4" t="s">
        <v>26</v>
      </c>
      <c r="B4" s="1">
        <v>2</v>
      </c>
      <c r="C4" s="1">
        <v>40000</v>
      </c>
      <c r="D4" s="1">
        <v>40001</v>
      </c>
      <c r="E4" s="1">
        <v>0</v>
      </c>
      <c r="F4" s="1">
        <v>0</v>
      </c>
      <c r="G4" s="1">
        <v>0</v>
      </c>
      <c r="H4" s="2">
        <v>0</v>
      </c>
      <c r="I4" s="3">
        <v>0</v>
      </c>
      <c r="J4" s="3">
        <v>0</v>
      </c>
      <c r="K4" s="3">
        <v>0</v>
      </c>
    </row>
    <row r="5" spans="1:11" x14ac:dyDescent="0.25">
      <c r="A5" s="4" t="s">
        <v>11</v>
      </c>
      <c r="B5" s="1">
        <v>1</v>
      </c>
      <c r="C5" s="1">
        <v>36749473</v>
      </c>
      <c r="D5" s="1">
        <v>396000000</v>
      </c>
      <c r="E5" s="1">
        <v>0</v>
      </c>
      <c r="F5" s="1">
        <v>0</v>
      </c>
      <c r="G5" s="1">
        <v>0</v>
      </c>
      <c r="H5" s="2">
        <v>0</v>
      </c>
      <c r="I5" s="3">
        <v>0</v>
      </c>
      <c r="J5" s="3">
        <v>0</v>
      </c>
      <c r="K5" s="3">
        <v>0</v>
      </c>
    </row>
    <row r="6" spans="1:11" x14ac:dyDescent="0.25">
      <c r="A6" s="4" t="s">
        <v>16</v>
      </c>
      <c r="B6" s="1">
        <v>3</v>
      </c>
      <c r="C6" s="1">
        <v>1128080</v>
      </c>
      <c r="D6" s="1">
        <v>1128080</v>
      </c>
      <c r="E6" s="1">
        <v>0</v>
      </c>
      <c r="F6" s="1">
        <v>0</v>
      </c>
      <c r="G6" s="1">
        <v>0</v>
      </c>
      <c r="H6" s="2">
        <v>0</v>
      </c>
      <c r="I6" s="3">
        <v>0</v>
      </c>
      <c r="J6" s="3">
        <v>0</v>
      </c>
      <c r="K6" s="3">
        <v>0.76</v>
      </c>
    </row>
    <row r="7" spans="1:11" x14ac:dyDescent="0.25">
      <c r="A7" s="4" t="s">
        <v>12</v>
      </c>
      <c r="B7" s="1">
        <v>2</v>
      </c>
      <c r="C7" s="1">
        <v>4000</v>
      </c>
      <c r="D7" s="1">
        <v>62400000</v>
      </c>
      <c r="E7" s="1">
        <v>27000</v>
      </c>
      <c r="F7" s="1">
        <v>0</v>
      </c>
      <c r="G7" s="1">
        <v>27000</v>
      </c>
      <c r="H7" s="2">
        <v>4.3269230769230798E-4</v>
      </c>
      <c r="I7" s="3">
        <v>0</v>
      </c>
      <c r="J7" s="3">
        <v>0</v>
      </c>
      <c r="K7" s="3">
        <v>0</v>
      </c>
    </row>
    <row r="8" spans="1:11" ht="30" x14ac:dyDescent="0.25">
      <c r="A8" s="4" t="s">
        <v>229</v>
      </c>
      <c r="B8" s="1">
        <v>14</v>
      </c>
      <c r="C8" s="1">
        <v>176932695</v>
      </c>
      <c r="D8" s="1">
        <v>178588941</v>
      </c>
      <c r="E8" s="1">
        <v>0</v>
      </c>
      <c r="F8" s="1">
        <v>2167810.59</v>
      </c>
      <c r="G8" s="1">
        <v>2167810.59</v>
      </c>
      <c r="H8" s="2">
        <v>1.21385488813666E-2</v>
      </c>
      <c r="I8" s="3">
        <v>9.3696400204608902E-3</v>
      </c>
      <c r="J8" s="3">
        <v>1.22521763996191E-2</v>
      </c>
      <c r="K8" s="3">
        <v>0.39285714285714302</v>
      </c>
    </row>
    <row r="9" spans="1:11" x14ac:dyDescent="0.25">
      <c r="A9" s="4" t="s">
        <v>25</v>
      </c>
      <c r="B9" s="1">
        <v>6</v>
      </c>
      <c r="C9" s="1">
        <v>25370000</v>
      </c>
      <c r="D9" s="1">
        <v>25370000</v>
      </c>
      <c r="E9" s="1">
        <v>0</v>
      </c>
      <c r="F9" s="1">
        <v>550000</v>
      </c>
      <c r="G9" s="1">
        <v>550000</v>
      </c>
      <c r="H9" s="2">
        <v>2.1679148600709498E-2</v>
      </c>
      <c r="I9" s="3">
        <v>2.1679148600709498E-2</v>
      </c>
      <c r="J9" s="3">
        <v>2.1679148600709498E-2</v>
      </c>
      <c r="K9" s="3">
        <v>8.1666666666666707E-2</v>
      </c>
    </row>
    <row r="10" spans="1:11" x14ac:dyDescent="0.25">
      <c r="A10" s="4" t="s">
        <v>15</v>
      </c>
      <c r="B10" s="1">
        <v>30</v>
      </c>
      <c r="C10" s="1">
        <v>98194005</v>
      </c>
      <c r="D10" s="1">
        <v>1319650240.8399999</v>
      </c>
      <c r="E10" s="1">
        <v>22900036.530000001</v>
      </c>
      <c r="F10" s="1">
        <v>15209026.83</v>
      </c>
      <c r="G10" s="1">
        <v>38109063.359999999</v>
      </c>
      <c r="H10" s="2">
        <v>2.8878154362888101E-2</v>
      </c>
      <c r="I10" s="3">
        <v>0.103975419680662</v>
      </c>
      <c r="J10" s="3">
        <v>0.15488752933542099</v>
      </c>
      <c r="K10" s="3">
        <v>0.24076923076923101</v>
      </c>
    </row>
    <row r="11" spans="1:11" ht="30" x14ac:dyDescent="0.25">
      <c r="A11" s="4" t="s">
        <v>13</v>
      </c>
      <c r="B11" s="1">
        <v>6</v>
      </c>
      <c r="C11" s="1">
        <v>15486980.93</v>
      </c>
      <c r="D11" s="1">
        <v>463387500</v>
      </c>
      <c r="E11" s="1">
        <v>3490550</v>
      </c>
      <c r="F11" s="1">
        <v>10486980.93</v>
      </c>
      <c r="G11" s="1">
        <v>13977530.93</v>
      </c>
      <c r="H11" s="2">
        <v>3.01638065981495E-2</v>
      </c>
      <c r="I11" s="3">
        <v>0.67714817867990995</v>
      </c>
      <c r="J11" s="3">
        <v>0.67714817867990995</v>
      </c>
      <c r="K11" s="3">
        <v>0.24833333333333299</v>
      </c>
    </row>
    <row r="12" spans="1:11" ht="30" x14ac:dyDescent="0.25">
      <c r="A12" s="4" t="s">
        <v>20</v>
      </c>
      <c r="B12" s="1">
        <v>4</v>
      </c>
      <c r="C12" s="1">
        <v>138986052.38</v>
      </c>
      <c r="D12" s="1">
        <v>330040368.94999999</v>
      </c>
      <c r="E12" s="1">
        <v>8660182.5700000003</v>
      </c>
      <c r="F12" s="1">
        <v>5794251.6299999999</v>
      </c>
      <c r="G12" s="1">
        <v>14454434.199999999</v>
      </c>
      <c r="H12" s="2">
        <v>4.3795958191374502E-2</v>
      </c>
      <c r="I12" s="3">
        <v>4.0302596944656099E-2</v>
      </c>
      <c r="J12" s="3">
        <v>4.1689446752239602E-2</v>
      </c>
      <c r="K12" s="3">
        <v>0.47</v>
      </c>
    </row>
    <row r="13" spans="1:11" ht="30" x14ac:dyDescent="0.25">
      <c r="A13" s="4" t="s">
        <v>230</v>
      </c>
      <c r="B13" s="1">
        <v>7</v>
      </c>
      <c r="C13" s="1">
        <v>75000000</v>
      </c>
      <c r="D13" s="1">
        <v>151407930</v>
      </c>
      <c r="E13" s="1">
        <v>27668387.84</v>
      </c>
      <c r="F13" s="1">
        <v>1421374.64</v>
      </c>
      <c r="G13" s="1">
        <v>29089762.48</v>
      </c>
      <c r="H13" s="2">
        <v>0.19212839433178999</v>
      </c>
      <c r="I13" s="3">
        <v>1.43516618666667E-2</v>
      </c>
      <c r="J13" s="3">
        <v>1.8951661866666698E-2</v>
      </c>
      <c r="K13" s="3">
        <v>0.17076923076923101</v>
      </c>
    </row>
    <row r="14" spans="1:11" x14ac:dyDescent="0.25">
      <c r="A14" s="4" t="s">
        <v>14</v>
      </c>
      <c r="B14" s="1">
        <v>44</v>
      </c>
      <c r="C14" s="1">
        <v>200826071</v>
      </c>
      <c r="D14" s="1">
        <v>5325378161</v>
      </c>
      <c r="E14" s="1">
        <v>1105739483</v>
      </c>
      <c r="F14" s="1">
        <v>72268670</v>
      </c>
      <c r="G14" s="1">
        <v>1178008153</v>
      </c>
      <c r="H14" s="2">
        <v>0.22120647912425301</v>
      </c>
      <c r="I14" s="3">
        <v>0.33131452340169498</v>
      </c>
      <c r="J14" s="3">
        <v>0.35985701278794602</v>
      </c>
      <c r="K14" s="3">
        <v>0.170454545454545</v>
      </c>
    </row>
    <row r="15" spans="1:11" ht="21.75" customHeight="1" x14ac:dyDescent="0.25">
      <c r="A15" s="4" t="s">
        <v>19</v>
      </c>
      <c r="B15" s="1">
        <v>12</v>
      </c>
      <c r="C15" s="1">
        <v>76681823.620000005</v>
      </c>
      <c r="D15" s="1">
        <v>250036139</v>
      </c>
      <c r="E15" s="1">
        <v>31945028</v>
      </c>
      <c r="F15" s="1">
        <v>38867906.619999997</v>
      </c>
      <c r="G15" s="1">
        <v>70812934.620000005</v>
      </c>
      <c r="H15" s="2">
        <v>0.28321079865978899</v>
      </c>
      <c r="I15" s="3">
        <v>0.39100700054530102</v>
      </c>
      <c r="J15" s="3">
        <v>0.50687248666139595</v>
      </c>
      <c r="K15" s="3">
        <v>0.64700000000000002</v>
      </c>
    </row>
    <row r="16" spans="1:11" x14ac:dyDescent="0.25">
      <c r="A16" s="4" t="s">
        <v>17</v>
      </c>
      <c r="B16" s="1">
        <v>25</v>
      </c>
      <c r="C16" s="1">
        <v>559707686.07000005</v>
      </c>
      <c r="D16" s="1">
        <v>12622873346.379999</v>
      </c>
      <c r="E16" s="1">
        <v>3502816886.2800002</v>
      </c>
      <c r="F16" s="1">
        <v>359692369.77999997</v>
      </c>
      <c r="G16" s="1">
        <v>3862509256.0599999</v>
      </c>
      <c r="H16" s="2">
        <v>0.30599287104213002</v>
      </c>
      <c r="I16" s="3">
        <v>0.29737080219259998</v>
      </c>
      <c r="J16" s="3">
        <v>0.64264325599240602</v>
      </c>
      <c r="K16" s="3">
        <v>0.28040816326530599</v>
      </c>
    </row>
    <row r="17" spans="1:11" ht="30" x14ac:dyDescent="0.25">
      <c r="A17" s="4" t="s">
        <v>18</v>
      </c>
      <c r="B17" s="1">
        <v>1</v>
      </c>
      <c r="C17" s="1">
        <v>188753</v>
      </c>
      <c r="D17" s="1">
        <v>304440</v>
      </c>
      <c r="E17" s="1">
        <v>115687</v>
      </c>
      <c r="F17" s="1">
        <v>0</v>
      </c>
      <c r="G17" s="1">
        <v>115687</v>
      </c>
      <c r="H17" s="2">
        <v>0.379999343056103</v>
      </c>
      <c r="I17" s="3">
        <v>0</v>
      </c>
      <c r="J17" s="3">
        <v>0</v>
      </c>
      <c r="K17" s="3">
        <v>0.98</v>
      </c>
    </row>
    <row r="18" spans="1:11" x14ac:dyDescent="0.25">
      <c r="A18" s="4" t="s">
        <v>24</v>
      </c>
      <c r="B18" s="1">
        <v>1</v>
      </c>
      <c r="C18" s="1">
        <v>5719312</v>
      </c>
      <c r="D18" s="1">
        <v>133975187</v>
      </c>
      <c r="E18" s="1">
        <v>59147000</v>
      </c>
      <c r="F18" s="1">
        <v>0</v>
      </c>
      <c r="G18" s="1">
        <v>59147000</v>
      </c>
      <c r="H18" s="2">
        <v>0.44147727145922899</v>
      </c>
      <c r="I18" s="3">
        <v>0</v>
      </c>
      <c r="J18" s="3">
        <v>0</v>
      </c>
      <c r="K18" s="3">
        <v>0.7</v>
      </c>
    </row>
    <row r="19" spans="1:11" x14ac:dyDescent="0.25">
      <c r="A19" s="4" t="s">
        <v>22</v>
      </c>
      <c r="B19" s="1">
        <v>12</v>
      </c>
      <c r="C19" s="1">
        <v>995311444.29999995</v>
      </c>
      <c r="D19" s="1">
        <v>1665535312</v>
      </c>
      <c r="E19" s="1">
        <v>459797242.69999999</v>
      </c>
      <c r="F19" s="1">
        <v>433164402.75999999</v>
      </c>
      <c r="G19" s="1">
        <v>892961645.46000004</v>
      </c>
      <c r="H19" s="2">
        <v>0.53614092659958001</v>
      </c>
      <c r="I19" s="3">
        <v>0.15217620554591699</v>
      </c>
      <c r="J19" s="3">
        <v>0.43520488510472599</v>
      </c>
      <c r="K19" s="3">
        <v>0.19520000000000001</v>
      </c>
    </row>
    <row r="20" spans="1:11" ht="30" x14ac:dyDescent="0.25">
      <c r="A20" s="4" t="s">
        <v>21</v>
      </c>
      <c r="B20" s="1">
        <v>4</v>
      </c>
      <c r="C20" s="1">
        <v>11371342.17</v>
      </c>
      <c r="D20" s="1">
        <v>48099974.530000001</v>
      </c>
      <c r="E20" s="1">
        <v>34681791.380000003</v>
      </c>
      <c r="F20" s="1">
        <v>6059980.8200000003</v>
      </c>
      <c r="G20" s="1">
        <v>40741772.200000003</v>
      </c>
      <c r="H20" s="2">
        <v>0.84702273957732199</v>
      </c>
      <c r="I20" s="3">
        <v>0.47373893771415698</v>
      </c>
      <c r="J20" s="3">
        <v>0.53291693534537299</v>
      </c>
      <c r="K20" s="3">
        <v>0.9325</v>
      </c>
    </row>
    <row r="21" spans="1:11" ht="30" x14ac:dyDescent="0.25">
      <c r="A21" s="4" t="s">
        <v>23</v>
      </c>
      <c r="B21" s="1">
        <v>4</v>
      </c>
      <c r="C21" s="1">
        <v>19177123.039999999</v>
      </c>
      <c r="D21" s="1">
        <v>93157740.540000007</v>
      </c>
      <c r="E21" s="1">
        <v>73980617.5</v>
      </c>
      <c r="F21" s="1">
        <v>11963390.109999999</v>
      </c>
      <c r="G21" s="1">
        <v>85944007.609999999</v>
      </c>
      <c r="H21" s="2">
        <v>0.92256432060089999</v>
      </c>
      <c r="I21" s="3">
        <v>0.34312570953812899</v>
      </c>
      <c r="J21" s="3">
        <v>0.62383654133347</v>
      </c>
      <c r="K21" s="3">
        <v>1</v>
      </c>
    </row>
    <row r="22" spans="1:11" x14ac:dyDescent="0.25">
      <c r="A22" s="4" t="s">
        <v>27</v>
      </c>
      <c r="B22" s="1">
        <v>1</v>
      </c>
      <c r="C22" s="1">
        <v>76700</v>
      </c>
      <c r="D22" s="1">
        <v>76700</v>
      </c>
      <c r="E22" s="1">
        <v>0</v>
      </c>
      <c r="F22" s="1">
        <v>76700</v>
      </c>
      <c r="G22" s="1">
        <v>76700</v>
      </c>
      <c r="H22" s="2">
        <v>1</v>
      </c>
      <c r="I22" s="3">
        <v>1</v>
      </c>
      <c r="J22" s="3">
        <v>1</v>
      </c>
      <c r="K22" s="3">
        <v>1</v>
      </c>
    </row>
    <row r="23" spans="1:11" x14ac:dyDescent="0.25">
      <c r="B23" s="1">
        <f>SUBTOTAL(109,Table12[Proje Sayısı])</f>
        <v>179</v>
      </c>
      <c r="C23" s="1">
        <f>SUBTOTAL(109,Table12[Toplam Yıl Ödeneği])</f>
        <v>2436951541.5100002</v>
      </c>
      <c r="D23" s="1">
        <f>SUBTOTAL(109,Table12[Toplam Proje Tutarı])</f>
        <v>23067450062.239998</v>
      </c>
      <c r="E23" s="1">
        <f>SUBTOTAL(109,Table12[Önceki Yıllar Toplam Harcaması])</f>
        <v>5330969892.8000002</v>
      </c>
      <c r="F23" s="1">
        <f>SUBTOTAL(109,Table12[Yılı Harcama Tutarı])</f>
        <v>957722864.71000004</v>
      </c>
      <c r="G23" s="1">
        <f>SUBTOTAL(109,Table12[Toplam Harcama Tutarı])</f>
        <v>6288692757.5099993</v>
      </c>
      <c r="H23" s="5" t="s">
        <v>231</v>
      </c>
      <c r="I23" s="5" t="s">
        <v>232</v>
      </c>
      <c r="J23" s="5" t="s">
        <v>232</v>
      </c>
    </row>
  </sheetData>
  <mergeCells count="1">
    <mergeCell ref="A1:K1"/>
  </mergeCells>
  <pageMargins left="0.7" right="0.7" top="0.75" bottom="0.75" header="0.3" footer="0.3"/>
  <pageSetup paperSize="9" scale="87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18D6-5738-4FD6-91A4-EC8335BCBBA3}">
  <dimension ref="A1:K4"/>
  <sheetViews>
    <sheetView workbookViewId="0">
      <selection activeCell="E12" sqref="E12"/>
    </sheetView>
  </sheetViews>
  <sheetFormatPr defaultRowHeight="15" x14ac:dyDescent="0.25"/>
  <cols>
    <col min="1" max="1" width="32" customWidth="1"/>
    <col min="3" max="3" width="12.28515625" customWidth="1"/>
    <col min="4" max="4" width="10.5703125" customWidth="1"/>
    <col min="6" max="6" width="10.85546875" customWidth="1"/>
  </cols>
  <sheetData>
    <row r="1" spans="1:11" x14ac:dyDescent="0.25">
      <c r="A1" s="8" t="s">
        <v>391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x14ac:dyDescent="0.25">
      <c r="A4" t="s">
        <v>110</v>
      </c>
      <c r="B4" s="1">
        <v>5719312</v>
      </c>
      <c r="C4" s="1">
        <v>133975187</v>
      </c>
      <c r="D4" s="1">
        <v>59147000</v>
      </c>
      <c r="E4" s="1">
        <v>0</v>
      </c>
      <c r="F4" s="1">
        <v>59147000</v>
      </c>
      <c r="G4" s="2">
        <v>0.44147727145922899</v>
      </c>
      <c r="H4" s="3">
        <v>0</v>
      </c>
      <c r="I4" s="3">
        <v>0</v>
      </c>
      <c r="J4" s="3">
        <v>0.7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B18B-6F12-4741-B679-B5C1D033557D}">
  <dimension ref="A1:K8"/>
  <sheetViews>
    <sheetView workbookViewId="0">
      <selection activeCell="C14" sqref="C14"/>
    </sheetView>
  </sheetViews>
  <sheetFormatPr defaultRowHeight="15" x14ac:dyDescent="0.25"/>
  <cols>
    <col min="1" max="1" width="35.140625" customWidth="1"/>
    <col min="2" max="2" width="10.5703125" customWidth="1"/>
    <col min="3" max="3" width="13.5703125" customWidth="1"/>
    <col min="4" max="4" width="10.85546875" customWidth="1"/>
    <col min="6" max="6" width="11.140625" customWidth="1"/>
  </cols>
  <sheetData>
    <row r="1" spans="1:11" x14ac:dyDescent="0.25">
      <c r="A1" s="8" t="s">
        <v>392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30" x14ac:dyDescent="0.25">
      <c r="A4" s="4" t="s">
        <v>114</v>
      </c>
      <c r="B4" s="1">
        <v>6499006.0499999998</v>
      </c>
      <c r="C4" s="1">
        <v>14987323.02</v>
      </c>
      <c r="D4" s="1">
        <v>7318495.8799999999</v>
      </c>
      <c r="E4" s="1">
        <v>4576950.96</v>
      </c>
      <c r="F4" s="1">
        <v>11895446.84</v>
      </c>
      <c r="G4" s="2">
        <v>0.79370057108437497</v>
      </c>
      <c r="H4" s="3">
        <v>0.70425399280863898</v>
      </c>
      <c r="I4" s="3">
        <v>0.70425399280863898</v>
      </c>
      <c r="J4" s="3">
        <v>0.79</v>
      </c>
      <c r="K4" t="s">
        <v>39</v>
      </c>
    </row>
    <row r="5" spans="1:11" ht="30" x14ac:dyDescent="0.25">
      <c r="A5" s="4" t="s">
        <v>113</v>
      </c>
      <c r="B5" s="1">
        <v>1034794.12</v>
      </c>
      <c r="C5" s="1">
        <v>4910134.72</v>
      </c>
      <c r="D5" s="1">
        <v>3689077.66</v>
      </c>
      <c r="E5" s="1">
        <v>831861.52</v>
      </c>
      <c r="F5" s="1">
        <v>4520939.18</v>
      </c>
      <c r="G5" s="2">
        <v>0.92073628073488001</v>
      </c>
      <c r="H5" s="3">
        <v>0.451566935846137</v>
      </c>
      <c r="I5" s="3">
        <v>0.80389084545629197</v>
      </c>
      <c r="J5" s="3">
        <v>1</v>
      </c>
      <c r="K5" t="s">
        <v>33</v>
      </c>
    </row>
    <row r="6" spans="1:11" ht="30" x14ac:dyDescent="0.25">
      <c r="A6" s="4" t="s">
        <v>112</v>
      </c>
      <c r="B6" s="1">
        <v>3161915.6</v>
      </c>
      <c r="C6" s="1">
        <v>16776060</v>
      </c>
      <c r="D6" s="1">
        <v>13045000.220000001</v>
      </c>
      <c r="E6" s="1">
        <v>651168.34</v>
      </c>
      <c r="F6" s="1">
        <v>13696168.560000001</v>
      </c>
      <c r="G6" s="2">
        <v>0.81641151498027598</v>
      </c>
      <c r="H6" s="3">
        <v>0.10842091737046999</v>
      </c>
      <c r="I6" s="3">
        <v>0.20594108837060701</v>
      </c>
      <c r="J6" s="3">
        <v>1</v>
      </c>
      <c r="K6" t="s">
        <v>38</v>
      </c>
    </row>
    <row r="7" spans="1:11" x14ac:dyDescent="0.25">
      <c r="A7" s="4" t="s">
        <v>111</v>
      </c>
      <c r="B7" s="1">
        <v>675626.4</v>
      </c>
      <c r="C7" s="1">
        <v>11426456.789999999</v>
      </c>
      <c r="D7" s="1">
        <v>10629217.619999999</v>
      </c>
      <c r="E7" s="1">
        <v>0</v>
      </c>
      <c r="F7" s="1">
        <v>10629217.619999999</v>
      </c>
      <c r="G7" s="2">
        <v>0.93022866277342298</v>
      </c>
      <c r="H7" s="3">
        <v>0</v>
      </c>
      <c r="I7" s="3">
        <v>0</v>
      </c>
      <c r="J7" s="3">
        <v>0.94</v>
      </c>
      <c r="K7" t="s">
        <v>39</v>
      </c>
    </row>
    <row r="8" spans="1:11" x14ac:dyDescent="0.25">
      <c r="B8" s="1">
        <f>SUBTOTAL(109,Table128[Toplam Yıl Ödeneği])</f>
        <v>11371342.17</v>
      </c>
      <c r="C8" s="1">
        <f>SUBTOTAL(109,Table128[Toplam Proje Tutarı])</f>
        <v>48099974.529999994</v>
      </c>
      <c r="D8" s="1">
        <f>SUBTOTAL(109,Table128[Önceki Yıllar Toplam Harcaması])</f>
        <v>34681791.379999995</v>
      </c>
      <c r="E8" s="1">
        <f>SUBTOTAL(109,Table128[Yılı Harcama Tutarı])</f>
        <v>6059980.8200000003</v>
      </c>
      <c r="F8" s="1">
        <f>SUBTOTAL(109,Table128[Toplam Harcama Tutarı])</f>
        <v>40741772.199999996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74A0-6807-4B21-B4ED-A9D68FAFA29C}">
  <dimension ref="A1:K10"/>
  <sheetViews>
    <sheetView workbookViewId="0">
      <selection activeCell="H15" sqref="H15"/>
    </sheetView>
  </sheetViews>
  <sheetFormatPr defaultRowHeight="15" x14ac:dyDescent="0.25"/>
  <cols>
    <col min="1" max="1" width="37.28515625" customWidth="1"/>
    <col min="2" max="2" width="13.140625" customWidth="1"/>
    <col min="3" max="3" width="12.7109375" customWidth="1"/>
  </cols>
  <sheetData>
    <row r="1" spans="1:11" x14ac:dyDescent="0.25">
      <c r="A1" s="8" t="s">
        <v>393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s="4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30" x14ac:dyDescent="0.25">
      <c r="A4" s="4" t="s">
        <v>119</v>
      </c>
      <c r="B4" s="1">
        <v>6000000</v>
      </c>
      <c r="C4" s="1">
        <v>6000000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0.06</v>
      </c>
    </row>
    <row r="5" spans="1:11" x14ac:dyDescent="0.25">
      <c r="A5" s="4" t="s">
        <v>118</v>
      </c>
      <c r="B5" s="1">
        <v>5575000</v>
      </c>
      <c r="C5" s="1">
        <v>5575000</v>
      </c>
      <c r="D5" s="1">
        <v>0</v>
      </c>
      <c r="E5" s="1">
        <v>550000</v>
      </c>
      <c r="F5" s="1">
        <v>550000</v>
      </c>
      <c r="G5" s="2">
        <v>9.8654708520179393E-2</v>
      </c>
      <c r="H5" s="3">
        <v>9.8654708520179393E-2</v>
      </c>
      <c r="I5" s="3">
        <v>9.8654708520179393E-2</v>
      </c>
      <c r="J5" s="3">
        <v>0.36</v>
      </c>
    </row>
    <row r="6" spans="1:11" x14ac:dyDescent="0.25">
      <c r="A6" s="4" t="s">
        <v>212</v>
      </c>
      <c r="B6" s="1">
        <v>300000</v>
      </c>
      <c r="C6" s="1">
        <v>300000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</v>
      </c>
      <c r="K6" t="s">
        <v>34</v>
      </c>
    </row>
    <row r="7" spans="1:11" ht="22.5" customHeight="1" x14ac:dyDescent="0.25">
      <c r="A7" s="4" t="s">
        <v>117</v>
      </c>
      <c r="B7" s="1">
        <v>1210000</v>
      </c>
      <c r="C7" s="1">
        <v>1210000</v>
      </c>
      <c r="D7" s="1">
        <v>0</v>
      </c>
      <c r="E7" s="1">
        <v>0</v>
      </c>
      <c r="F7" s="1">
        <v>0</v>
      </c>
      <c r="G7" s="2">
        <v>0</v>
      </c>
      <c r="H7" s="3">
        <v>0</v>
      </c>
      <c r="I7" s="3">
        <v>0</v>
      </c>
      <c r="J7" s="3">
        <v>0</v>
      </c>
      <c r="K7" t="s">
        <v>87</v>
      </c>
    </row>
    <row r="8" spans="1:11" ht="30" x14ac:dyDescent="0.25">
      <c r="A8" s="4" t="s">
        <v>116</v>
      </c>
      <c r="B8" s="1">
        <v>3360000</v>
      </c>
      <c r="C8" s="1">
        <v>3360000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</v>
      </c>
      <c r="K8" t="s">
        <v>87</v>
      </c>
    </row>
    <row r="9" spans="1:11" ht="30" x14ac:dyDescent="0.25">
      <c r="A9" s="4" t="s">
        <v>115</v>
      </c>
      <c r="B9" s="1">
        <v>8925000</v>
      </c>
      <c r="C9" s="1">
        <v>8925000</v>
      </c>
      <c r="D9" s="1">
        <v>0</v>
      </c>
      <c r="E9" s="1">
        <v>0</v>
      </c>
      <c r="F9" s="1">
        <v>0</v>
      </c>
      <c r="G9" s="2">
        <v>0</v>
      </c>
      <c r="H9" s="3">
        <v>0</v>
      </c>
      <c r="I9" s="3">
        <v>0</v>
      </c>
      <c r="J9" s="3">
        <v>7.0000000000000007E-2</v>
      </c>
      <c r="K9" t="s">
        <v>87</v>
      </c>
    </row>
    <row r="10" spans="1:11" x14ac:dyDescent="0.25">
      <c r="B10" s="1">
        <f>SUBTOTAL(109,Table129[Toplam Yıl Ödeneği])</f>
        <v>25370000</v>
      </c>
      <c r="C10" s="1">
        <f>SUBTOTAL(109,Table129[Toplam Proje Tutarı])</f>
        <v>25370000</v>
      </c>
      <c r="D10" s="1">
        <f>SUBTOTAL(109,Table129[Önceki Yıllar Toplam Harcaması])</f>
        <v>0</v>
      </c>
      <c r="E10" s="1">
        <f>SUBTOTAL(109,Table129[Yılı Harcama Tutarı])</f>
        <v>550000</v>
      </c>
      <c r="F10" s="1">
        <f>SUBTOTAL(109,Table129[Toplam Harcama Tutarı])</f>
        <v>550000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F751-AEE1-490B-925A-FC3EB162EE8D}">
  <dimension ref="A1:K5"/>
  <sheetViews>
    <sheetView workbookViewId="0">
      <selection activeCell="P7" sqref="P7"/>
    </sheetView>
  </sheetViews>
  <sheetFormatPr defaultRowHeight="15" x14ac:dyDescent="0.25"/>
  <cols>
    <col min="1" max="1" width="33" customWidth="1"/>
  </cols>
  <sheetData>
    <row r="1" spans="1:11" x14ac:dyDescent="0.25">
      <c r="A1" s="8" t="s">
        <v>394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45" x14ac:dyDescent="0.25">
      <c r="A4" s="4" t="s">
        <v>120</v>
      </c>
      <c r="B4" s="1">
        <v>188753</v>
      </c>
      <c r="C4" s="1">
        <v>304440</v>
      </c>
      <c r="D4" s="1">
        <v>115687</v>
      </c>
      <c r="E4" s="1">
        <v>0</v>
      </c>
      <c r="F4" s="1">
        <v>115687</v>
      </c>
      <c r="G4" s="2">
        <v>0.379999343056103</v>
      </c>
      <c r="H4" s="3">
        <v>0</v>
      </c>
      <c r="I4" s="3">
        <v>0</v>
      </c>
      <c r="J4" s="3">
        <v>0.98</v>
      </c>
    </row>
    <row r="5" spans="1:11" x14ac:dyDescent="0.25">
      <c r="A5" s="4"/>
      <c r="B5" s="1">
        <f>SUBTOTAL(109,Table117[Toplam Yıl Ödeneği])</f>
        <v>188753</v>
      </c>
      <c r="C5" s="1">
        <f>SUBTOTAL(109,Table117[Toplam Proje Tutarı])</f>
        <v>304440</v>
      </c>
      <c r="D5" s="1">
        <f>SUBTOTAL(109,Table117[Önceki Yıllar Toplam Harcaması])</f>
        <v>115687</v>
      </c>
      <c r="E5" s="1">
        <f>SUBTOTAL(109,Table117[Yılı Harcama Tutarı])</f>
        <v>0</v>
      </c>
      <c r="F5" s="1">
        <f>SUBTOTAL(109,Table117[Toplam Harcama Tutarı])</f>
        <v>115687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AE3D-E5AB-4F57-B6D4-D6AACC492CC8}">
  <sheetPr>
    <pageSetUpPr fitToPage="1"/>
  </sheetPr>
  <dimension ref="A1:K34"/>
  <sheetViews>
    <sheetView topLeftCell="A25" workbookViewId="0">
      <selection activeCell="N7" sqref="N7"/>
    </sheetView>
  </sheetViews>
  <sheetFormatPr defaultRowHeight="15" x14ac:dyDescent="0.25"/>
  <cols>
    <col min="1" max="1" width="38.42578125" customWidth="1"/>
    <col min="2" max="2" width="11.42578125" customWidth="1"/>
    <col min="3" max="3" width="13.42578125" customWidth="1"/>
    <col min="4" max="4" width="11.140625" customWidth="1"/>
    <col min="5" max="6" width="11.7109375" customWidth="1"/>
  </cols>
  <sheetData>
    <row r="1" spans="1:11" x14ac:dyDescent="0.25">
      <c r="A1" s="8" t="s">
        <v>395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45" x14ac:dyDescent="0.25">
      <c r="A4" s="4" t="s">
        <v>396</v>
      </c>
      <c r="B4" s="1">
        <v>950000</v>
      </c>
      <c r="C4" s="1">
        <v>16248707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</v>
      </c>
      <c r="K4" t="s">
        <v>34</v>
      </c>
    </row>
    <row r="5" spans="1:11" ht="30" x14ac:dyDescent="0.25">
      <c r="A5" s="4" t="s">
        <v>213</v>
      </c>
      <c r="B5" s="1">
        <v>0</v>
      </c>
      <c r="C5" s="1">
        <v>2500000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36</v>
      </c>
    </row>
    <row r="6" spans="1:11" ht="30" x14ac:dyDescent="0.25">
      <c r="A6" s="4" t="s">
        <v>214</v>
      </c>
      <c r="B6" s="1">
        <v>5000000</v>
      </c>
      <c r="C6" s="1">
        <v>44419799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</v>
      </c>
      <c r="K6" t="s">
        <v>33</v>
      </c>
    </row>
    <row r="7" spans="1:11" ht="30" x14ac:dyDescent="0.25">
      <c r="A7" s="4" t="s">
        <v>135</v>
      </c>
      <c r="B7" s="1">
        <v>260000</v>
      </c>
      <c r="C7" s="1">
        <v>44419799.289999999</v>
      </c>
      <c r="D7" s="1">
        <v>14207458.92</v>
      </c>
      <c r="E7" s="1">
        <v>259434.66</v>
      </c>
      <c r="F7" s="1">
        <v>14466893.58</v>
      </c>
      <c r="G7" s="2">
        <v>0.32568570347540599</v>
      </c>
      <c r="H7" s="3">
        <v>0.99782561538461501</v>
      </c>
      <c r="I7" s="3">
        <v>0.99782561538461501</v>
      </c>
      <c r="J7" s="3">
        <v>0.9</v>
      </c>
      <c r="K7" t="s">
        <v>33</v>
      </c>
    </row>
    <row r="8" spans="1:11" ht="30" x14ac:dyDescent="0.25">
      <c r="A8" s="4" t="s">
        <v>134</v>
      </c>
      <c r="B8" s="1">
        <v>0</v>
      </c>
      <c r="C8" s="1">
        <v>227488.95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</v>
      </c>
      <c r="K8" t="s">
        <v>33</v>
      </c>
    </row>
    <row r="9" spans="1:11" ht="30" x14ac:dyDescent="0.25">
      <c r="A9" s="4" t="s">
        <v>133</v>
      </c>
      <c r="B9" s="1">
        <v>2000000</v>
      </c>
      <c r="C9" s="1">
        <v>2662970</v>
      </c>
      <c r="D9" s="1">
        <v>662970</v>
      </c>
      <c r="E9" s="1">
        <v>1209705</v>
      </c>
      <c r="F9" s="1">
        <v>1872675</v>
      </c>
      <c r="G9" s="2">
        <v>0.70322797478003896</v>
      </c>
      <c r="H9" s="3">
        <v>0.60485250000000002</v>
      </c>
      <c r="I9" s="3">
        <v>0.60485250000000002</v>
      </c>
      <c r="J9" s="3">
        <v>0.7</v>
      </c>
      <c r="K9" t="s">
        <v>33</v>
      </c>
    </row>
    <row r="10" spans="1:11" x14ac:dyDescent="0.25">
      <c r="A10" s="4" t="s">
        <v>397</v>
      </c>
      <c r="B10" s="1">
        <v>2000000</v>
      </c>
      <c r="C10" s="1">
        <v>10339621</v>
      </c>
      <c r="D10" s="1">
        <v>0</v>
      </c>
      <c r="E10" s="1">
        <v>0</v>
      </c>
      <c r="F10" s="1">
        <v>0</v>
      </c>
      <c r="G10" s="2">
        <v>0</v>
      </c>
      <c r="H10" s="3">
        <v>0</v>
      </c>
      <c r="I10" s="3">
        <v>0</v>
      </c>
      <c r="J10" s="3">
        <v>0</v>
      </c>
      <c r="K10" t="s">
        <v>36</v>
      </c>
    </row>
    <row r="11" spans="1:11" ht="30" x14ac:dyDescent="0.25">
      <c r="A11" s="4" t="s">
        <v>215</v>
      </c>
      <c r="B11" s="1">
        <v>3500000</v>
      </c>
      <c r="C11" s="1">
        <v>26134377.48</v>
      </c>
      <c r="D11" s="1">
        <v>0</v>
      </c>
      <c r="E11" s="1">
        <v>0</v>
      </c>
      <c r="F11" s="1">
        <v>0</v>
      </c>
      <c r="G11" s="2">
        <v>0</v>
      </c>
      <c r="H11" s="3">
        <v>0</v>
      </c>
      <c r="I11" s="3">
        <v>0</v>
      </c>
      <c r="J11" s="3">
        <v>0</v>
      </c>
      <c r="K11" t="s">
        <v>33</v>
      </c>
    </row>
    <row r="12" spans="1:11" ht="45" x14ac:dyDescent="0.25">
      <c r="A12" s="4" t="s">
        <v>132</v>
      </c>
      <c r="B12" s="1">
        <v>250000</v>
      </c>
      <c r="C12" s="1">
        <v>433672</v>
      </c>
      <c r="D12" s="1">
        <v>149032.41</v>
      </c>
      <c r="E12" s="1">
        <v>155104.13</v>
      </c>
      <c r="F12" s="1">
        <v>304136.53999999998</v>
      </c>
      <c r="G12" s="2">
        <v>0.70130545665848898</v>
      </c>
      <c r="H12" s="3">
        <v>0.62041652000000003</v>
      </c>
      <c r="I12" s="3">
        <v>0.62041652000000003</v>
      </c>
      <c r="J12" s="3">
        <v>0.8</v>
      </c>
      <c r="K12" t="s">
        <v>33</v>
      </c>
    </row>
    <row r="13" spans="1:11" x14ac:dyDescent="0.25">
      <c r="A13" s="4" t="s">
        <v>131</v>
      </c>
      <c r="B13" s="1">
        <v>1000000</v>
      </c>
      <c r="C13" s="1">
        <v>1717889</v>
      </c>
      <c r="D13" s="1">
        <v>0</v>
      </c>
      <c r="E13" s="1">
        <v>0</v>
      </c>
      <c r="F13" s="1">
        <v>0</v>
      </c>
      <c r="G13" s="2">
        <v>0</v>
      </c>
      <c r="H13" s="3">
        <v>0</v>
      </c>
      <c r="I13" s="3">
        <v>0</v>
      </c>
      <c r="J13" s="3">
        <v>0.1</v>
      </c>
      <c r="K13" t="s">
        <v>33</v>
      </c>
    </row>
    <row r="14" spans="1:11" x14ac:dyDescent="0.25">
      <c r="A14" s="4" t="s">
        <v>216</v>
      </c>
      <c r="B14" s="1">
        <v>0</v>
      </c>
      <c r="C14" s="1">
        <v>937534407</v>
      </c>
      <c r="D14" s="1">
        <v>0</v>
      </c>
      <c r="E14" s="1">
        <v>0</v>
      </c>
      <c r="F14" s="1">
        <v>0</v>
      </c>
      <c r="G14" s="2">
        <v>0</v>
      </c>
      <c r="H14" s="3">
        <v>0</v>
      </c>
      <c r="I14" s="3">
        <v>0</v>
      </c>
      <c r="J14" s="3">
        <v>0</v>
      </c>
      <c r="K14" t="s">
        <v>38</v>
      </c>
    </row>
    <row r="15" spans="1:11" ht="30" x14ac:dyDescent="0.25">
      <c r="A15" s="4" t="s">
        <v>130</v>
      </c>
      <c r="B15" s="1">
        <v>2000000</v>
      </c>
      <c r="C15" s="1">
        <v>5064178</v>
      </c>
      <c r="D15" s="1">
        <v>0</v>
      </c>
      <c r="E15" s="1">
        <v>0</v>
      </c>
      <c r="F15" s="1">
        <v>0</v>
      </c>
      <c r="G15" s="2">
        <v>0</v>
      </c>
      <c r="H15" s="3">
        <v>0</v>
      </c>
      <c r="I15" s="3">
        <v>0</v>
      </c>
      <c r="J15" s="3">
        <v>0.05</v>
      </c>
      <c r="K15" t="s">
        <v>33</v>
      </c>
    </row>
    <row r="16" spans="1:11" ht="45" x14ac:dyDescent="0.25">
      <c r="A16" s="4" t="s">
        <v>129</v>
      </c>
      <c r="B16" s="1">
        <v>2000000</v>
      </c>
      <c r="C16" s="1">
        <v>4849285.62</v>
      </c>
      <c r="D16" s="1">
        <v>0</v>
      </c>
      <c r="E16" s="1">
        <v>3540</v>
      </c>
      <c r="F16" s="1">
        <v>3540</v>
      </c>
      <c r="G16" s="2">
        <v>7.3000443310658198E-4</v>
      </c>
      <c r="H16" s="3">
        <v>1.7700000000000001E-3</v>
      </c>
      <c r="I16" s="3">
        <v>1.7700000000000001E-3</v>
      </c>
      <c r="J16" s="3">
        <v>0</v>
      </c>
      <c r="K16" t="s">
        <v>33</v>
      </c>
    </row>
    <row r="17" spans="1:11" ht="30" x14ac:dyDescent="0.25">
      <c r="A17" s="4" t="s">
        <v>128</v>
      </c>
      <c r="B17" s="1">
        <v>2500000</v>
      </c>
      <c r="C17" s="1">
        <v>19696978</v>
      </c>
      <c r="D17" s="1">
        <v>10965.5</v>
      </c>
      <c r="E17" s="1">
        <v>0</v>
      </c>
      <c r="F17" s="1">
        <v>10965.5</v>
      </c>
      <c r="G17" s="2">
        <v>5.5670976532542203E-4</v>
      </c>
      <c r="H17" s="3">
        <v>0</v>
      </c>
      <c r="I17" s="3">
        <v>0</v>
      </c>
      <c r="J17" s="3">
        <v>0</v>
      </c>
      <c r="K17" t="s">
        <v>87</v>
      </c>
    </row>
    <row r="18" spans="1:11" ht="30" x14ac:dyDescent="0.25">
      <c r="A18" s="4" t="s">
        <v>398</v>
      </c>
      <c r="B18" s="1">
        <v>25516185</v>
      </c>
      <c r="C18" s="1">
        <v>25516185</v>
      </c>
      <c r="D18" s="1">
        <v>0</v>
      </c>
      <c r="E18" s="1">
        <v>0</v>
      </c>
      <c r="F18" s="1">
        <v>0</v>
      </c>
      <c r="G18" s="2">
        <v>0</v>
      </c>
      <c r="H18" s="3">
        <v>0</v>
      </c>
      <c r="I18" s="3">
        <v>0</v>
      </c>
      <c r="J18" s="3">
        <v>0</v>
      </c>
      <c r="K18" t="s">
        <v>33</v>
      </c>
    </row>
    <row r="19" spans="1:11" ht="45" x14ac:dyDescent="0.25">
      <c r="A19" s="4" t="s">
        <v>127</v>
      </c>
      <c r="B19" s="1">
        <v>3000000</v>
      </c>
      <c r="C19" s="1">
        <v>18000000</v>
      </c>
      <c r="D19" s="1">
        <v>4742078</v>
      </c>
      <c r="E19" s="1">
        <v>0</v>
      </c>
      <c r="F19" s="1">
        <v>4742078</v>
      </c>
      <c r="G19" s="2">
        <v>0.26344877777777798</v>
      </c>
      <c r="H19" s="3">
        <v>0</v>
      </c>
      <c r="I19" s="3">
        <v>0</v>
      </c>
      <c r="J19" s="3">
        <v>0.96</v>
      </c>
      <c r="K19" t="s">
        <v>87</v>
      </c>
    </row>
    <row r="20" spans="1:11" ht="30" x14ac:dyDescent="0.25">
      <c r="A20" s="4" t="s">
        <v>399</v>
      </c>
      <c r="B20" s="1">
        <v>560000</v>
      </c>
      <c r="C20" s="1">
        <v>747355.6</v>
      </c>
      <c r="D20" s="1">
        <v>0</v>
      </c>
      <c r="E20" s="1">
        <v>269025</v>
      </c>
      <c r="F20" s="1">
        <v>269025</v>
      </c>
      <c r="G20" s="2">
        <v>0.35996920341534899</v>
      </c>
      <c r="H20" s="3">
        <v>0.48040178571428599</v>
      </c>
      <c r="I20" s="3">
        <v>0.48040178571428599</v>
      </c>
      <c r="J20" s="3">
        <v>0.8</v>
      </c>
      <c r="K20" t="s">
        <v>36</v>
      </c>
    </row>
    <row r="21" spans="1:11" ht="30" x14ac:dyDescent="0.25">
      <c r="A21" s="4" t="s">
        <v>126</v>
      </c>
      <c r="B21" s="1">
        <v>0</v>
      </c>
      <c r="C21" s="1">
        <v>1265000</v>
      </c>
      <c r="D21" s="1">
        <v>1109007.8500000001</v>
      </c>
      <c r="E21" s="1">
        <v>0</v>
      </c>
      <c r="F21" s="1">
        <v>1109007.8500000001</v>
      </c>
      <c r="G21" s="2">
        <v>0.87668604743083001</v>
      </c>
      <c r="H21" s="3">
        <v>0</v>
      </c>
      <c r="I21" s="3">
        <v>0</v>
      </c>
      <c r="J21" s="3">
        <v>0.75</v>
      </c>
      <c r="K21" t="s">
        <v>37</v>
      </c>
    </row>
    <row r="22" spans="1:11" x14ac:dyDescent="0.25">
      <c r="A22" s="4" t="s">
        <v>125</v>
      </c>
      <c r="B22" s="1">
        <v>4457820</v>
      </c>
      <c r="C22" s="1">
        <v>6118031.3099999996</v>
      </c>
      <c r="D22" s="1">
        <v>10100</v>
      </c>
      <c r="E22" s="1">
        <v>3540</v>
      </c>
      <c r="F22" s="1">
        <v>13640</v>
      </c>
      <c r="G22" s="2">
        <v>2.2294753506254899E-3</v>
      </c>
      <c r="H22" s="3">
        <v>7.9411012557707597E-4</v>
      </c>
      <c r="I22" s="3">
        <v>7.9411012557707597E-4</v>
      </c>
      <c r="J22" s="3">
        <v>0</v>
      </c>
      <c r="K22" t="s">
        <v>33</v>
      </c>
    </row>
    <row r="23" spans="1:11" ht="30" x14ac:dyDescent="0.25">
      <c r="A23" s="4" t="s">
        <v>217</v>
      </c>
      <c r="B23" s="1">
        <v>2500000</v>
      </c>
      <c r="C23" s="1">
        <v>13283448.59</v>
      </c>
      <c r="D23" s="1">
        <v>0</v>
      </c>
      <c r="E23" s="1">
        <v>0</v>
      </c>
      <c r="F23" s="1">
        <v>0</v>
      </c>
      <c r="G23" s="2">
        <v>0</v>
      </c>
      <c r="H23" s="3">
        <v>0</v>
      </c>
      <c r="I23" s="3">
        <v>0</v>
      </c>
      <c r="J23" s="3">
        <v>0</v>
      </c>
      <c r="K23" t="s">
        <v>38</v>
      </c>
    </row>
    <row r="24" spans="1:11" x14ac:dyDescent="0.25">
      <c r="A24" s="4" t="s">
        <v>124</v>
      </c>
      <c r="B24" s="1">
        <v>10000000</v>
      </c>
      <c r="C24" s="1">
        <v>18042388</v>
      </c>
      <c r="D24" s="1">
        <v>1993663.85</v>
      </c>
      <c r="E24" s="1">
        <v>4361740.68</v>
      </c>
      <c r="F24" s="1">
        <v>6355404.5300000003</v>
      </c>
      <c r="G24" s="2">
        <v>0.352248523310772</v>
      </c>
      <c r="H24" s="3">
        <v>0.43617406800000003</v>
      </c>
      <c r="I24" s="3">
        <v>0.43617406800000003</v>
      </c>
      <c r="J24" s="3">
        <v>0.5</v>
      </c>
      <c r="K24" t="s">
        <v>37</v>
      </c>
    </row>
    <row r="25" spans="1:11" x14ac:dyDescent="0.25">
      <c r="A25" s="4" t="s">
        <v>123</v>
      </c>
      <c r="B25" s="1">
        <v>10200000</v>
      </c>
      <c r="C25" s="1">
        <v>10200000</v>
      </c>
      <c r="D25" s="1">
        <v>0</v>
      </c>
      <c r="E25" s="1">
        <v>8616751.3599999994</v>
      </c>
      <c r="F25" s="1">
        <v>8616751.3599999994</v>
      </c>
      <c r="G25" s="2">
        <v>0.84477954509803899</v>
      </c>
      <c r="H25" s="3">
        <v>0.35465562843137199</v>
      </c>
      <c r="I25" s="3">
        <v>0.84477954509803899</v>
      </c>
      <c r="J25" s="3">
        <v>0.9</v>
      </c>
      <c r="K25" t="s">
        <v>33</v>
      </c>
    </row>
    <row r="26" spans="1:11" ht="45" x14ac:dyDescent="0.25">
      <c r="A26" s="4" t="s">
        <v>122</v>
      </c>
      <c r="B26" s="1">
        <v>2000000</v>
      </c>
      <c r="C26" s="1">
        <v>2898002.55</v>
      </c>
      <c r="D26" s="1">
        <v>7380</v>
      </c>
      <c r="E26" s="1">
        <v>326646</v>
      </c>
      <c r="F26" s="1">
        <v>334026</v>
      </c>
      <c r="G26" s="2">
        <v>0.115260768145287</v>
      </c>
      <c r="H26" s="3">
        <v>0.163323</v>
      </c>
      <c r="I26" s="3">
        <v>0.163323</v>
      </c>
      <c r="J26" s="3">
        <v>0.2</v>
      </c>
      <c r="K26" t="s">
        <v>33</v>
      </c>
    </row>
    <row r="27" spans="1:11" ht="30" x14ac:dyDescent="0.25">
      <c r="A27" s="4" t="s">
        <v>400</v>
      </c>
      <c r="B27" s="1">
        <v>1000000</v>
      </c>
      <c r="C27" s="1">
        <v>1892758.32</v>
      </c>
      <c r="D27" s="1">
        <v>0</v>
      </c>
      <c r="E27" s="1">
        <v>0</v>
      </c>
      <c r="F27" s="1">
        <v>0</v>
      </c>
      <c r="G27" s="2">
        <v>0</v>
      </c>
      <c r="H27" s="3">
        <v>0</v>
      </c>
      <c r="I27" s="3">
        <v>0</v>
      </c>
      <c r="J27" s="3">
        <v>0</v>
      </c>
      <c r="K27" t="s">
        <v>36</v>
      </c>
    </row>
    <row r="28" spans="1:11" x14ac:dyDescent="0.25">
      <c r="A28" s="4" t="s">
        <v>218</v>
      </c>
      <c r="B28" s="1">
        <v>4000000</v>
      </c>
      <c r="C28" s="1">
        <v>28022443.309999999</v>
      </c>
      <c r="D28" s="1">
        <v>0</v>
      </c>
      <c r="E28" s="1">
        <v>0</v>
      </c>
      <c r="F28" s="1">
        <v>0</v>
      </c>
      <c r="G28" s="2">
        <v>0</v>
      </c>
      <c r="H28" s="3">
        <v>0</v>
      </c>
      <c r="I28" s="3">
        <v>0</v>
      </c>
      <c r="J28" s="3">
        <v>0</v>
      </c>
      <c r="K28" t="s">
        <v>38</v>
      </c>
    </row>
    <row r="29" spans="1:11" ht="30" x14ac:dyDescent="0.25">
      <c r="A29" s="4" t="s">
        <v>401</v>
      </c>
      <c r="B29" s="1">
        <v>4000000</v>
      </c>
      <c r="C29" s="1">
        <v>17269287.5</v>
      </c>
      <c r="D29" s="1">
        <v>0</v>
      </c>
      <c r="E29" s="1">
        <v>0</v>
      </c>
      <c r="F29" s="1">
        <v>0</v>
      </c>
      <c r="G29" s="2">
        <v>0</v>
      </c>
      <c r="H29" s="3">
        <v>0</v>
      </c>
      <c r="I29" s="3">
        <v>0</v>
      </c>
      <c r="J29" s="3">
        <v>0</v>
      </c>
      <c r="K29" t="s">
        <v>36</v>
      </c>
    </row>
    <row r="30" spans="1:11" ht="60" x14ac:dyDescent="0.25">
      <c r="A30" s="4" t="s">
        <v>219</v>
      </c>
      <c r="B30" s="1">
        <v>2000000</v>
      </c>
      <c r="C30" s="1">
        <v>2898002.55</v>
      </c>
      <c r="D30" s="1">
        <v>7380</v>
      </c>
      <c r="E30" s="1">
        <v>0</v>
      </c>
      <c r="F30" s="1">
        <v>7380</v>
      </c>
      <c r="G30" s="2">
        <v>2.5465816101507598E-3</v>
      </c>
      <c r="H30" s="3">
        <v>0</v>
      </c>
      <c r="I30" s="3">
        <v>0</v>
      </c>
      <c r="J30" s="3">
        <v>0</v>
      </c>
      <c r="K30" t="s">
        <v>87</v>
      </c>
    </row>
    <row r="31" spans="1:11" ht="45" x14ac:dyDescent="0.25">
      <c r="A31" s="4" t="s">
        <v>220</v>
      </c>
      <c r="B31" s="1">
        <v>5000000</v>
      </c>
      <c r="C31" s="1">
        <v>39713299.240000002</v>
      </c>
      <c r="D31" s="1">
        <v>0</v>
      </c>
      <c r="E31" s="1">
        <v>3540</v>
      </c>
      <c r="F31" s="1">
        <v>3540</v>
      </c>
      <c r="G31" s="2">
        <v>8.9138904793748401E-5</v>
      </c>
      <c r="H31" s="3">
        <v>7.0799999999999997E-4</v>
      </c>
      <c r="I31" s="3">
        <v>7.0799999999999997E-4</v>
      </c>
      <c r="J31" s="3">
        <v>0</v>
      </c>
      <c r="K31" t="s">
        <v>37</v>
      </c>
    </row>
    <row r="32" spans="1:11" ht="30" x14ac:dyDescent="0.25">
      <c r="A32" s="4" t="s">
        <v>121</v>
      </c>
      <c r="B32" s="1">
        <v>2000000</v>
      </c>
      <c r="C32" s="1">
        <v>15065373</v>
      </c>
      <c r="D32" s="1">
        <v>0</v>
      </c>
      <c r="E32" s="1">
        <v>0</v>
      </c>
      <c r="F32" s="1">
        <v>0</v>
      </c>
      <c r="G32" s="2">
        <v>0</v>
      </c>
      <c r="H32" s="3">
        <v>0</v>
      </c>
      <c r="I32" s="3">
        <v>0</v>
      </c>
      <c r="J32" s="3">
        <v>0</v>
      </c>
      <c r="K32" t="s">
        <v>87</v>
      </c>
    </row>
    <row r="33" spans="1:11" x14ac:dyDescent="0.25">
      <c r="A33" s="4" t="s">
        <v>402</v>
      </c>
      <c r="B33" s="1">
        <v>500000</v>
      </c>
      <c r="C33" s="1">
        <v>2469493.5299999998</v>
      </c>
      <c r="D33" s="1">
        <v>0</v>
      </c>
      <c r="E33" s="1">
        <v>0</v>
      </c>
      <c r="F33" s="1">
        <v>0</v>
      </c>
      <c r="G33" s="2">
        <v>0</v>
      </c>
      <c r="H33" s="3">
        <v>0</v>
      </c>
      <c r="I33" s="3">
        <v>0</v>
      </c>
      <c r="J33" s="3">
        <v>0</v>
      </c>
      <c r="K33" t="s">
        <v>38</v>
      </c>
    </row>
    <row r="34" spans="1:11" x14ac:dyDescent="0.25">
      <c r="B34" s="1">
        <f>SUBTOTAL(109,Table130[Toplam Yıl Ödeneği])</f>
        <v>98194005</v>
      </c>
      <c r="C34" s="1">
        <f>SUBTOTAL(109,Table130[Toplam Proje Tutarı])</f>
        <v>1319650240.8399994</v>
      </c>
      <c r="D34" s="1">
        <f>SUBTOTAL(109,Table130[Önceki Yıllar Toplam Harcaması])</f>
        <v>22900036.530000001</v>
      </c>
      <c r="E34" s="1">
        <f>SUBTOTAL(109,Table130[Yılı Harcama Tutarı])</f>
        <v>15209026.829999998</v>
      </c>
      <c r="F34" s="1">
        <f>SUBTOTAL(109,Table130[Toplam Harcama Tutarı])</f>
        <v>38109063.359999999</v>
      </c>
    </row>
  </sheetData>
  <mergeCells count="1">
    <mergeCell ref="A1:K1"/>
  </mergeCells>
  <pageMargins left="0.7" right="0.7" top="0.75" bottom="0.75" header="0.3" footer="0.3"/>
  <pageSetup paperSize="9" scale="97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AFCC-763B-4B80-B8FA-76F879F3CD70}">
  <dimension ref="A1:L6"/>
  <sheetViews>
    <sheetView workbookViewId="0">
      <selection activeCell="D11" sqref="D11"/>
    </sheetView>
  </sheetViews>
  <sheetFormatPr defaultRowHeight="15" x14ac:dyDescent="0.25"/>
  <cols>
    <col min="1" max="1" width="42.7109375" customWidth="1"/>
    <col min="3" max="3" width="12.140625" customWidth="1"/>
  </cols>
  <sheetData>
    <row r="1" spans="1:12" x14ac:dyDescent="0.25">
      <c r="A1" s="8" t="s">
        <v>403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x14ac:dyDescent="0.25">
      <c r="A4" s="4" t="s">
        <v>137</v>
      </c>
      <c r="B4" s="1">
        <v>2000</v>
      </c>
      <c r="C4" s="1">
        <v>60000000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</v>
      </c>
      <c r="K4" t="s">
        <v>37</v>
      </c>
    </row>
    <row r="5" spans="1:12" ht="30" x14ac:dyDescent="0.25">
      <c r="A5" s="4" t="s">
        <v>136</v>
      </c>
      <c r="B5" s="1">
        <v>2000</v>
      </c>
      <c r="C5" s="1">
        <v>2400000</v>
      </c>
      <c r="D5" s="1">
        <v>27000</v>
      </c>
      <c r="E5" s="1">
        <v>0</v>
      </c>
      <c r="F5" s="1">
        <v>27000</v>
      </c>
      <c r="G5" s="2">
        <v>1.125E-2</v>
      </c>
      <c r="H5" s="3">
        <v>0</v>
      </c>
      <c r="I5" s="3">
        <v>0</v>
      </c>
      <c r="J5" s="3">
        <v>0</v>
      </c>
      <c r="K5" t="s">
        <v>33</v>
      </c>
    </row>
    <row r="6" spans="1:12" x14ac:dyDescent="0.25">
      <c r="B6" s="1">
        <f>SUBTOTAL(109,Table131[Toplam Yıl Ödeneği])</f>
        <v>4000</v>
      </c>
      <c r="C6" s="1">
        <f>SUBTOTAL(109,Table131[Toplam Proje Tutarı])</f>
        <v>62400000</v>
      </c>
      <c r="D6" s="1">
        <f>SUBTOTAL(109,Table131[Önceki Yıllar Toplam Harcaması])</f>
        <v>27000</v>
      </c>
      <c r="E6" s="1">
        <f>SUBTOTAL(109,Table131[Yılı Harcama Tutarı])</f>
        <v>0</v>
      </c>
      <c r="F6" s="1">
        <f>SUBTOTAL(109,Table131[Toplam Harcama Tutarı])</f>
        <v>27000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A2DDB-2C71-4F5B-B22A-407707417904}">
  <dimension ref="A1:L7"/>
  <sheetViews>
    <sheetView workbookViewId="0">
      <selection activeCell="D12" sqref="D12"/>
    </sheetView>
  </sheetViews>
  <sheetFormatPr defaultRowHeight="15" x14ac:dyDescent="0.25"/>
  <cols>
    <col min="1" max="1" width="39.5703125" customWidth="1"/>
  </cols>
  <sheetData>
    <row r="1" spans="1:12" x14ac:dyDescent="0.25">
      <c r="A1" s="8" t="s">
        <v>221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ht="45" x14ac:dyDescent="0.25">
      <c r="A4" s="4" t="s">
        <v>222</v>
      </c>
      <c r="B4" s="1">
        <v>802400</v>
      </c>
      <c r="C4" s="1">
        <v>802400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0.3</v>
      </c>
      <c r="K4" t="s">
        <v>33</v>
      </c>
    </row>
    <row r="5" spans="1:12" ht="60" x14ac:dyDescent="0.25">
      <c r="A5" s="4" t="s">
        <v>404</v>
      </c>
      <c r="B5" s="1">
        <v>162840</v>
      </c>
      <c r="C5" s="1">
        <v>162840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0.99</v>
      </c>
      <c r="K5" t="s">
        <v>36</v>
      </c>
    </row>
    <row r="6" spans="1:12" ht="50.25" customHeight="1" x14ac:dyDescent="0.25">
      <c r="A6" s="4" t="s">
        <v>405</v>
      </c>
      <c r="B6" s="1">
        <v>162840</v>
      </c>
      <c r="C6" s="1">
        <v>162840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0.99</v>
      </c>
      <c r="K6" t="s">
        <v>32</v>
      </c>
    </row>
    <row r="7" spans="1:12" x14ac:dyDescent="0.25">
      <c r="B7" s="1">
        <f>SUBTOTAL(109,Table132[Toplam Yıl Ödeneği])</f>
        <v>1128080</v>
      </c>
      <c r="C7" s="1">
        <f>SUBTOTAL(109,Table132[Toplam Proje Tutarı])</f>
        <v>1128080</v>
      </c>
      <c r="D7" s="1">
        <f>SUBTOTAL(109,Table132[Önceki Yıllar Toplam Harcaması])</f>
        <v>0</v>
      </c>
      <c r="E7" s="1">
        <f>SUBTOTAL(109,Table132[Yılı Harcama Tutarı])</f>
        <v>0</v>
      </c>
      <c r="F7" s="1">
        <f>SUBTOTAL(109,Table132[Toplam Harcama Tutarı])</f>
        <v>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9708-4B07-488E-B17F-A144E7BAD9B1}">
  <dimension ref="A1:K10"/>
  <sheetViews>
    <sheetView topLeftCell="A4" workbookViewId="0">
      <selection activeCell="L6" sqref="L6"/>
    </sheetView>
  </sheetViews>
  <sheetFormatPr defaultRowHeight="15" x14ac:dyDescent="0.25"/>
  <cols>
    <col min="1" max="1" width="36.140625" customWidth="1"/>
    <col min="2" max="2" width="10.7109375" customWidth="1"/>
    <col min="3" max="3" width="11.42578125" customWidth="1"/>
    <col min="4" max="4" width="10.42578125" customWidth="1"/>
    <col min="5" max="5" width="11" customWidth="1"/>
    <col min="6" max="6" width="10.28515625" customWidth="1"/>
  </cols>
  <sheetData>
    <row r="1" spans="1:11" x14ac:dyDescent="0.2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45" x14ac:dyDescent="0.25">
      <c r="A4" s="4" t="s">
        <v>142</v>
      </c>
      <c r="B4" s="1">
        <v>4383365.25</v>
      </c>
      <c r="C4" s="1">
        <v>100000000</v>
      </c>
      <c r="D4" s="1">
        <v>0</v>
      </c>
      <c r="E4" s="1">
        <v>4383365.25</v>
      </c>
      <c r="F4" s="1">
        <v>4383365.25</v>
      </c>
      <c r="G4" s="2">
        <v>4.38336525E-2</v>
      </c>
      <c r="H4" s="3">
        <v>1</v>
      </c>
      <c r="I4" s="3">
        <v>1</v>
      </c>
      <c r="J4" s="3">
        <v>7.0000000000000007E-2</v>
      </c>
      <c r="K4" t="s">
        <v>33</v>
      </c>
    </row>
    <row r="5" spans="1:11" ht="30" x14ac:dyDescent="0.25">
      <c r="A5" s="4" t="s">
        <v>141</v>
      </c>
      <c r="B5" s="1">
        <v>2259400</v>
      </c>
      <c r="C5" s="1">
        <v>14043750</v>
      </c>
      <c r="D5" s="1">
        <v>431000</v>
      </c>
      <c r="E5" s="1">
        <v>0</v>
      </c>
      <c r="F5" s="1">
        <v>431000</v>
      </c>
      <c r="G5" s="2">
        <v>3.0689808633733901E-2</v>
      </c>
      <c r="H5" s="3">
        <v>0</v>
      </c>
      <c r="I5" s="3">
        <v>0</v>
      </c>
      <c r="J5" s="3">
        <v>0.28000000000000003</v>
      </c>
      <c r="K5" t="s">
        <v>87</v>
      </c>
    </row>
    <row r="6" spans="1:11" ht="30" x14ac:dyDescent="0.25">
      <c r="A6" s="4" t="s">
        <v>223</v>
      </c>
      <c r="B6" s="1">
        <v>2637100</v>
      </c>
      <c r="C6" s="1">
        <v>15843750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0.1</v>
      </c>
      <c r="K6" t="s">
        <v>87</v>
      </c>
    </row>
    <row r="7" spans="1:11" ht="30" x14ac:dyDescent="0.25">
      <c r="A7" s="4" t="s">
        <v>140</v>
      </c>
      <c r="B7" s="1">
        <v>103500</v>
      </c>
      <c r="C7" s="1">
        <v>3500000</v>
      </c>
      <c r="D7" s="1">
        <v>3059550</v>
      </c>
      <c r="E7" s="1">
        <v>0</v>
      </c>
      <c r="F7" s="1">
        <v>3059550</v>
      </c>
      <c r="G7" s="2">
        <v>0.87415714285714297</v>
      </c>
      <c r="H7" s="3">
        <v>0</v>
      </c>
      <c r="I7" s="3">
        <v>0</v>
      </c>
      <c r="J7" s="3">
        <v>0.98</v>
      </c>
      <c r="K7" t="s">
        <v>33</v>
      </c>
    </row>
    <row r="8" spans="1:11" ht="45" x14ac:dyDescent="0.25">
      <c r="A8" s="4" t="s">
        <v>139</v>
      </c>
      <c r="B8" s="1">
        <v>0</v>
      </c>
      <c r="C8" s="1">
        <v>180000000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</v>
      </c>
      <c r="K8" t="s">
        <v>33</v>
      </c>
    </row>
    <row r="9" spans="1:11" ht="45" x14ac:dyDescent="0.25">
      <c r="A9" s="4" t="s">
        <v>138</v>
      </c>
      <c r="B9" s="1">
        <v>6103615.6799999997</v>
      </c>
      <c r="C9" s="1">
        <v>150000000</v>
      </c>
      <c r="D9" s="1">
        <v>0</v>
      </c>
      <c r="E9" s="1">
        <v>6103615.6799999997</v>
      </c>
      <c r="F9" s="1">
        <v>6103615.6799999997</v>
      </c>
      <c r="G9" s="2">
        <v>4.0690771200000003E-2</v>
      </c>
      <c r="H9" s="3">
        <v>1</v>
      </c>
      <c r="I9" s="3">
        <v>1</v>
      </c>
      <c r="J9" s="3">
        <v>0.06</v>
      </c>
      <c r="K9" t="s">
        <v>33</v>
      </c>
    </row>
    <row r="10" spans="1:11" x14ac:dyDescent="0.25">
      <c r="B10" s="1">
        <f>SUBTOTAL(109,Table133[Toplam Yıl Ödeneği])</f>
        <v>15486980.93</v>
      </c>
      <c r="C10" s="1">
        <f>SUBTOTAL(109,Table133[Toplam Proje Tutarı])</f>
        <v>463387500</v>
      </c>
      <c r="D10" s="1">
        <f>SUBTOTAL(109,Table133[Önceki Yıllar Toplam Harcaması])</f>
        <v>3490550</v>
      </c>
      <c r="E10" s="1">
        <f>SUBTOTAL(109,Table133[Yılı Harcama Tutarı])</f>
        <v>10486980.93</v>
      </c>
      <c r="F10" s="1">
        <f>SUBTOTAL(109,Table133[Toplam Harcama Tutarı])</f>
        <v>13977530.93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6229-20A2-40A5-B22E-72EAAA6A348E}">
  <sheetPr>
    <pageSetUpPr fitToPage="1"/>
  </sheetPr>
  <dimension ref="A1:L8"/>
  <sheetViews>
    <sheetView workbookViewId="0">
      <selection activeCell="D12" sqref="D12"/>
    </sheetView>
  </sheetViews>
  <sheetFormatPr defaultRowHeight="15" x14ac:dyDescent="0.25"/>
  <cols>
    <col min="1" max="1" width="37.5703125" customWidth="1"/>
    <col min="2" max="2" width="11.5703125" customWidth="1"/>
    <col min="3" max="3" width="11.85546875" customWidth="1"/>
    <col min="5" max="5" width="10.28515625" customWidth="1"/>
    <col min="6" max="6" width="11.140625" customWidth="1"/>
  </cols>
  <sheetData>
    <row r="1" spans="1:12" x14ac:dyDescent="0.25">
      <c r="A1" s="9" t="s">
        <v>146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x14ac:dyDescent="0.25">
      <c r="A4" s="4" t="s">
        <v>145</v>
      </c>
      <c r="B4" s="1">
        <v>3343007.53</v>
      </c>
      <c r="C4" s="1">
        <v>4509000</v>
      </c>
      <c r="D4" s="1">
        <v>1165992.47</v>
      </c>
      <c r="E4" s="1">
        <v>192752.78</v>
      </c>
      <c r="F4" s="1">
        <v>1358745.25</v>
      </c>
      <c r="G4" s="2">
        <v>0.30134070747394098</v>
      </c>
      <c r="H4" s="3">
        <v>0</v>
      </c>
      <c r="I4" s="3">
        <v>5.7658494116523899E-2</v>
      </c>
      <c r="J4" s="3">
        <v>0.4</v>
      </c>
      <c r="K4" t="s">
        <v>35</v>
      </c>
    </row>
    <row r="5" spans="1:12" ht="50.25" customHeight="1" x14ac:dyDescent="0.25">
      <c r="A5" s="4" t="s">
        <v>406</v>
      </c>
      <c r="B5" s="1">
        <v>84436080</v>
      </c>
      <c r="C5" s="1">
        <v>211090200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0.01</v>
      </c>
      <c r="K5" t="s">
        <v>33</v>
      </c>
    </row>
    <row r="6" spans="1:12" x14ac:dyDescent="0.25">
      <c r="A6" s="4" t="s">
        <v>407</v>
      </c>
      <c r="B6" s="1">
        <v>45605466</v>
      </c>
      <c r="C6" s="1">
        <v>101345480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0.01</v>
      </c>
      <c r="K6" t="s">
        <v>33</v>
      </c>
    </row>
    <row r="7" spans="1:12" ht="45" x14ac:dyDescent="0.25">
      <c r="A7" s="4" t="s">
        <v>144</v>
      </c>
      <c r="B7" s="1">
        <v>5601498.8499999996</v>
      </c>
      <c r="C7" s="1">
        <v>13095688.949999999</v>
      </c>
      <c r="D7" s="1">
        <v>7494190.0999999996</v>
      </c>
      <c r="E7" s="1">
        <v>5601498.8499999996</v>
      </c>
      <c r="F7" s="1">
        <v>13095688.949999999</v>
      </c>
      <c r="G7" s="2">
        <v>1</v>
      </c>
      <c r="H7" s="3">
        <v>1</v>
      </c>
      <c r="I7" s="3">
        <v>1</v>
      </c>
      <c r="J7" s="3">
        <v>1</v>
      </c>
      <c r="K7" t="s">
        <v>33</v>
      </c>
    </row>
    <row r="8" spans="1:12" x14ac:dyDescent="0.25">
      <c r="B8" s="1">
        <f>SUBTOTAL(109,Table134[Toplam Yıl Ödeneği])</f>
        <v>138986052.38</v>
      </c>
      <c r="C8" s="1">
        <f>SUBTOTAL(109,Table134[Toplam Proje Tutarı])</f>
        <v>330040368.94999999</v>
      </c>
      <c r="D8" s="1">
        <f>SUBTOTAL(109,Table134[Önceki Yıllar Toplam Harcaması])</f>
        <v>8660182.5700000003</v>
      </c>
      <c r="E8" s="1">
        <f>SUBTOTAL(109,Table134[Yılı Harcama Tutarı])</f>
        <v>5794251.6299999999</v>
      </c>
      <c r="F8" s="1">
        <f>SUBTOTAL(109,Table134[Toplam Harcama Tutarı])</f>
        <v>14454434.199999999</v>
      </c>
    </row>
  </sheetData>
  <mergeCells count="1">
    <mergeCell ref="A1:L1"/>
  </mergeCells>
  <pageMargins left="0.7" right="0.7" top="0.75" bottom="0.75" header="0.3" footer="0.3"/>
  <pageSetup paperSize="9" scale="88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089E-B7D7-42D7-860C-5941C4AF117D}">
  <dimension ref="A1:L6"/>
  <sheetViews>
    <sheetView workbookViewId="0">
      <selection activeCell="G9" sqref="G9"/>
    </sheetView>
  </sheetViews>
  <sheetFormatPr defaultRowHeight="15" x14ac:dyDescent="0.25"/>
  <cols>
    <col min="1" max="1" width="36.42578125" customWidth="1"/>
  </cols>
  <sheetData>
    <row r="1" spans="1:12" x14ac:dyDescent="0.25">
      <c r="A1" s="8" t="s">
        <v>408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ht="45" x14ac:dyDescent="0.25">
      <c r="A4" s="4" t="s">
        <v>224</v>
      </c>
      <c r="B4" s="1">
        <v>0</v>
      </c>
      <c r="C4" s="1">
        <v>1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</v>
      </c>
      <c r="K4" t="s">
        <v>32</v>
      </c>
    </row>
    <row r="5" spans="1:12" ht="60" x14ac:dyDescent="0.25">
      <c r="A5" s="4" t="s">
        <v>147</v>
      </c>
      <c r="B5" s="1">
        <v>40000</v>
      </c>
      <c r="C5" s="1">
        <v>40000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34</v>
      </c>
    </row>
    <row r="6" spans="1:12" x14ac:dyDescent="0.25">
      <c r="B6" s="1">
        <f>SUBTOTAL(109,Table135[Toplam Yıl Ödeneği])</f>
        <v>40000</v>
      </c>
      <c r="C6" s="1">
        <f>SUBTOTAL(109,Table135[Toplam Proje Tutarı])</f>
        <v>40001</v>
      </c>
      <c r="D6" s="1">
        <f>SUBTOTAL(109,Table135[Önceki Yıllar Toplam Harcaması])</f>
        <v>0</v>
      </c>
      <c r="E6" s="1">
        <f>SUBTOTAL(109,Table135[Yılı Harcama Tutarı])</f>
        <v>0</v>
      </c>
      <c r="F6" s="1">
        <f>SUBTOTAL(109,Table135[Toplam Harcama Tutarı])</f>
        <v>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10-EC9F-4746-B562-CB47802DAE36}">
  <sheetPr>
    <pageSetUpPr fitToPage="1"/>
  </sheetPr>
  <dimension ref="A1:K15"/>
  <sheetViews>
    <sheetView tabSelected="1" workbookViewId="0">
      <selection activeCell="C10" sqref="C10"/>
    </sheetView>
  </sheetViews>
  <sheetFormatPr defaultRowHeight="15" x14ac:dyDescent="0.25"/>
  <cols>
    <col min="1" max="1" width="32" customWidth="1"/>
    <col min="2" max="2" width="7.7109375" customWidth="1"/>
    <col min="3" max="3" width="12.7109375" customWidth="1"/>
    <col min="4" max="5" width="14.28515625" customWidth="1"/>
    <col min="6" max="6" width="12.85546875" customWidth="1"/>
    <col min="7" max="7" width="12.5703125" customWidth="1"/>
  </cols>
  <sheetData>
    <row r="1" spans="1:11" x14ac:dyDescent="0.25">
      <c r="A1" s="8" t="s">
        <v>182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x14ac:dyDescent="0.25">
      <c r="A4" s="4" t="s">
        <v>28</v>
      </c>
      <c r="B4" s="1">
        <v>278</v>
      </c>
      <c r="C4" s="1">
        <v>99769650.519999996</v>
      </c>
      <c r="D4" s="1">
        <v>149663129.75999999</v>
      </c>
      <c r="E4" s="1">
        <v>2956279</v>
      </c>
      <c r="F4" s="1">
        <v>14787052.630000001</v>
      </c>
      <c r="G4" s="1">
        <v>17743331.629999999</v>
      </c>
      <c r="H4" s="2">
        <v>0.118555128831351</v>
      </c>
      <c r="I4" s="3">
        <v>4.0092352525562397E-3</v>
      </c>
      <c r="J4" s="3">
        <v>0.14821193171400099</v>
      </c>
      <c r="K4" s="3">
        <v>0.14877887788778901</v>
      </c>
    </row>
    <row r="5" spans="1:11" x14ac:dyDescent="0.25">
      <c r="A5" s="4" t="s">
        <v>29</v>
      </c>
      <c r="B5" s="1">
        <v>1</v>
      </c>
      <c r="C5" s="1">
        <v>10431572.16</v>
      </c>
      <c r="D5" s="1">
        <v>25437352.41</v>
      </c>
      <c r="E5" s="1">
        <v>15005777.25</v>
      </c>
      <c r="F5" s="1">
        <v>10431572.16</v>
      </c>
      <c r="G5" s="1">
        <v>25437349.41</v>
      </c>
      <c r="H5" s="2">
        <v>0.99999988206319801</v>
      </c>
      <c r="I5" s="3">
        <v>0</v>
      </c>
      <c r="J5" s="3">
        <v>1</v>
      </c>
      <c r="K5" s="3">
        <v>1</v>
      </c>
    </row>
    <row r="6" spans="1:11" x14ac:dyDescent="0.25">
      <c r="B6" s="1">
        <f>SUBTOTAL(109,Table13[Proje Sayısı])</f>
        <v>279</v>
      </c>
      <c r="C6" s="1">
        <f>SUBTOTAL(109,Table13[Toplam Yıl Ödeneği])</f>
        <v>110201222.67999999</v>
      </c>
      <c r="D6" s="1">
        <f>SUBTOTAL(109,Table13[Toplam Proje Tutarı])</f>
        <v>175100482.16999999</v>
      </c>
      <c r="E6" s="1">
        <f>SUBTOTAL(109,Table13[Önceki Yıllar Toplam Harcaması])</f>
        <v>17962056.25</v>
      </c>
      <c r="F6" s="1">
        <f>SUBTOTAL(109,Table13[Yılı Harcama Tutarı])</f>
        <v>25218624.789999999</v>
      </c>
      <c r="G6" s="1">
        <f>SUBTOTAL(109,Table13[Toplam Harcama Tutarı])</f>
        <v>43180681.039999999</v>
      </c>
      <c r="H6" s="2" t="s">
        <v>233</v>
      </c>
      <c r="I6" s="2" t="s">
        <v>234</v>
      </c>
      <c r="J6" s="2" t="s">
        <v>234</v>
      </c>
    </row>
    <row r="15" spans="1:11" ht="21.75" customHeight="1" x14ac:dyDescent="0.25"/>
  </sheetData>
  <mergeCells count="1">
    <mergeCell ref="A1:K1"/>
  </mergeCells>
  <pageMargins left="0.7" right="0.7" top="0.75" bottom="0.75" header="0.3" footer="0.3"/>
  <pageSetup paperSize="9" scale="91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A171-B273-47AC-8C94-574477945595}">
  <sheetPr>
    <pageSetUpPr fitToPage="1"/>
  </sheetPr>
  <dimension ref="A1:L8"/>
  <sheetViews>
    <sheetView workbookViewId="0">
      <selection activeCell="D11" sqref="D11"/>
    </sheetView>
  </sheetViews>
  <sheetFormatPr defaultRowHeight="15" x14ac:dyDescent="0.25"/>
  <cols>
    <col min="1" max="1" width="31.7109375" customWidth="1"/>
    <col min="2" max="2" width="10.85546875" customWidth="1"/>
    <col min="3" max="3" width="11.7109375" customWidth="1"/>
    <col min="4" max="4" width="11" customWidth="1"/>
    <col min="5" max="5" width="10.85546875" customWidth="1"/>
    <col min="6" max="6" width="12.42578125" customWidth="1"/>
  </cols>
  <sheetData>
    <row r="1" spans="1:12" x14ac:dyDescent="0.25">
      <c r="A1" s="8" t="s">
        <v>409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ht="30" x14ac:dyDescent="0.25">
      <c r="A4" s="4" t="s">
        <v>151</v>
      </c>
      <c r="B4" s="1">
        <v>450760</v>
      </c>
      <c r="C4" s="1">
        <v>450760</v>
      </c>
      <c r="D4" s="1">
        <v>0</v>
      </c>
      <c r="E4" s="1">
        <v>450760</v>
      </c>
      <c r="F4" s="1">
        <v>450760</v>
      </c>
      <c r="G4" s="2">
        <v>1</v>
      </c>
      <c r="H4" s="3">
        <v>0</v>
      </c>
      <c r="I4" s="3">
        <v>1</v>
      </c>
      <c r="J4" s="3">
        <v>1</v>
      </c>
      <c r="K4" t="s">
        <v>33</v>
      </c>
    </row>
    <row r="5" spans="1:12" ht="45" x14ac:dyDescent="0.25">
      <c r="A5" s="4" t="s">
        <v>150</v>
      </c>
      <c r="B5" s="1">
        <v>913038.9</v>
      </c>
      <c r="C5" s="1">
        <v>56446952.299999997</v>
      </c>
      <c r="D5" s="1">
        <v>55533913.399999999</v>
      </c>
      <c r="E5" s="1">
        <v>196894.8</v>
      </c>
      <c r="F5" s="1">
        <v>55730808.200000003</v>
      </c>
      <c r="G5" s="2">
        <v>0.98731297136834095</v>
      </c>
      <c r="H5" s="3">
        <v>0.21564776703380301</v>
      </c>
      <c r="I5" s="3">
        <v>0.21564776703380301</v>
      </c>
      <c r="J5" s="3">
        <v>1</v>
      </c>
      <c r="K5" t="s">
        <v>33</v>
      </c>
    </row>
    <row r="6" spans="1:12" ht="30" x14ac:dyDescent="0.25">
      <c r="A6" s="4" t="s">
        <v>149</v>
      </c>
      <c r="B6" s="1">
        <v>17697238</v>
      </c>
      <c r="C6" s="1">
        <v>34519768.240000002</v>
      </c>
      <c r="D6" s="1">
        <v>16822530.239999998</v>
      </c>
      <c r="E6" s="1">
        <v>11217958.539999999</v>
      </c>
      <c r="F6" s="1">
        <v>28040488.780000001</v>
      </c>
      <c r="G6" s="2">
        <v>0.81230234760116105</v>
      </c>
      <c r="H6" s="3">
        <v>0.36069295954543901</v>
      </c>
      <c r="I6" s="3">
        <v>0.63388188258529399</v>
      </c>
      <c r="J6" s="3">
        <v>1</v>
      </c>
      <c r="K6" t="s">
        <v>33</v>
      </c>
    </row>
    <row r="7" spans="1:12" ht="30" x14ac:dyDescent="0.25">
      <c r="A7" s="4" t="s">
        <v>148</v>
      </c>
      <c r="B7" s="1">
        <v>116086.14</v>
      </c>
      <c r="C7" s="1">
        <v>1740260</v>
      </c>
      <c r="D7" s="1">
        <v>1624173.86</v>
      </c>
      <c r="E7" s="1">
        <v>97776.77</v>
      </c>
      <c r="F7" s="1">
        <v>1721950.63</v>
      </c>
      <c r="G7" s="2">
        <v>0.98947894567478401</v>
      </c>
      <c r="H7" s="3">
        <v>0</v>
      </c>
      <c r="I7" s="3">
        <v>0.84227772583359195</v>
      </c>
      <c r="J7" s="3">
        <v>1</v>
      </c>
      <c r="K7" t="s">
        <v>38</v>
      </c>
    </row>
    <row r="8" spans="1:12" x14ac:dyDescent="0.25">
      <c r="B8" s="1">
        <f>SUBTOTAL(109,Table136[Toplam Yıl Ödeneği])</f>
        <v>19177123.039999999</v>
      </c>
      <c r="C8" s="1">
        <f>SUBTOTAL(109,Table136[Toplam Proje Tutarı])</f>
        <v>93157740.539999992</v>
      </c>
      <c r="D8" s="1">
        <f>SUBTOTAL(109,Table136[Önceki Yıllar Toplam Harcaması])</f>
        <v>73980617.5</v>
      </c>
      <c r="E8" s="1">
        <f>SUBTOTAL(109,Table136[Yılı Harcama Tutarı])</f>
        <v>11963390.109999999</v>
      </c>
      <c r="F8" s="1">
        <f>SUBTOTAL(109,Table136[Toplam Harcama Tutarı])</f>
        <v>85944007.609999999</v>
      </c>
    </row>
  </sheetData>
  <mergeCells count="1">
    <mergeCell ref="A1:L1"/>
  </mergeCells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FFF7-C55F-4BD8-AD96-3D67C64FF75E}">
  <dimension ref="A1:K16"/>
  <sheetViews>
    <sheetView topLeftCell="A10" workbookViewId="0">
      <selection activeCell="F20" sqref="F20"/>
    </sheetView>
  </sheetViews>
  <sheetFormatPr defaultRowHeight="15" x14ac:dyDescent="0.25"/>
  <cols>
    <col min="1" max="1" width="38.42578125" customWidth="1"/>
    <col min="2" max="2" width="12.85546875" customWidth="1"/>
    <col min="3" max="3" width="13.140625" customWidth="1"/>
    <col min="4" max="4" width="11.140625" customWidth="1"/>
    <col min="5" max="5" width="12" customWidth="1"/>
    <col min="6" max="6" width="12.140625" customWidth="1"/>
  </cols>
  <sheetData>
    <row r="1" spans="1:11" x14ac:dyDescent="0.25">
      <c r="A1" s="8" t="s">
        <v>410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x14ac:dyDescent="0.25">
      <c r="A4" s="4" t="s">
        <v>225</v>
      </c>
      <c r="B4" s="1">
        <v>173375</v>
      </c>
      <c r="C4" s="1">
        <v>9750000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</v>
      </c>
      <c r="K4" t="s">
        <v>33</v>
      </c>
    </row>
    <row r="5" spans="1:11" x14ac:dyDescent="0.25">
      <c r="A5" s="4" t="s">
        <v>159</v>
      </c>
      <c r="B5" s="1">
        <v>56000</v>
      </c>
      <c r="C5" s="1">
        <v>3000000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33</v>
      </c>
    </row>
    <row r="6" spans="1:11" ht="45" x14ac:dyDescent="0.25">
      <c r="A6" s="4" t="s">
        <v>158</v>
      </c>
      <c r="B6" s="1">
        <v>2000</v>
      </c>
      <c r="C6" s="1">
        <v>8400000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</v>
      </c>
      <c r="K6" t="s">
        <v>33</v>
      </c>
    </row>
    <row r="7" spans="1:11" ht="30" x14ac:dyDescent="0.25">
      <c r="A7" s="4" t="s">
        <v>226</v>
      </c>
      <c r="B7" s="1">
        <v>975364991.99000001</v>
      </c>
      <c r="C7" s="1">
        <v>1425192412</v>
      </c>
      <c r="D7" s="1">
        <v>449827420.00999999</v>
      </c>
      <c r="E7" s="1">
        <v>431907811.75</v>
      </c>
      <c r="F7" s="1">
        <v>881735231.75999999</v>
      </c>
      <c r="G7" s="2">
        <v>0.61867802854959397</v>
      </c>
      <c r="H7" s="3">
        <v>0.15399991711158301</v>
      </c>
      <c r="I7" s="3">
        <v>0.44281660229448599</v>
      </c>
      <c r="J7" s="3">
        <v>0.9</v>
      </c>
      <c r="K7" t="s">
        <v>33</v>
      </c>
    </row>
    <row r="8" spans="1:11" ht="60" x14ac:dyDescent="0.25">
      <c r="A8" s="4" t="s">
        <v>157</v>
      </c>
      <c r="B8" s="1">
        <v>13002000</v>
      </c>
      <c r="C8" s="1">
        <v>132570000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</v>
      </c>
      <c r="K8" t="s">
        <v>33</v>
      </c>
    </row>
    <row r="9" spans="1:11" ht="30" x14ac:dyDescent="0.25">
      <c r="A9" s="4" t="s">
        <v>411</v>
      </c>
      <c r="B9" s="1">
        <v>2000</v>
      </c>
      <c r="C9" s="1">
        <v>6750000</v>
      </c>
      <c r="D9" s="1">
        <v>0</v>
      </c>
      <c r="E9" s="1">
        <v>0</v>
      </c>
      <c r="F9" s="1">
        <v>0</v>
      </c>
      <c r="G9" s="2">
        <v>0</v>
      </c>
      <c r="H9" s="3">
        <v>0</v>
      </c>
      <c r="I9" s="3">
        <v>0</v>
      </c>
      <c r="J9" s="3">
        <v>0</v>
      </c>
      <c r="K9" t="s">
        <v>33</v>
      </c>
    </row>
    <row r="10" spans="1:11" ht="30" x14ac:dyDescent="0.25">
      <c r="A10" s="4" t="s">
        <v>227</v>
      </c>
      <c r="B10" s="1">
        <v>6402060.9699999997</v>
      </c>
      <c r="C10" s="1">
        <v>8400000</v>
      </c>
      <c r="D10" s="1">
        <v>1997939.03</v>
      </c>
      <c r="E10" s="1">
        <v>1256591.01</v>
      </c>
      <c r="F10" s="1">
        <v>3254530.04</v>
      </c>
      <c r="G10" s="2">
        <v>0.38744405238095198</v>
      </c>
      <c r="H10" s="3">
        <v>0.19627913821633</v>
      </c>
      <c r="I10" s="3">
        <v>0.19627913821633</v>
      </c>
      <c r="J10" s="3">
        <v>0.55000000000000004</v>
      </c>
      <c r="K10" t="s">
        <v>38</v>
      </c>
    </row>
    <row r="11" spans="1:11" x14ac:dyDescent="0.25">
      <c r="A11" s="4" t="s">
        <v>156</v>
      </c>
      <c r="B11" s="1">
        <v>2000</v>
      </c>
      <c r="C11" s="1">
        <v>12000000</v>
      </c>
      <c r="D11" s="1">
        <v>0</v>
      </c>
      <c r="E11" s="1">
        <v>0</v>
      </c>
      <c r="F11" s="1">
        <v>0</v>
      </c>
      <c r="G11" s="2">
        <v>0</v>
      </c>
      <c r="H11" s="3">
        <v>0</v>
      </c>
      <c r="I11" s="3">
        <v>0</v>
      </c>
      <c r="J11" s="3">
        <v>0</v>
      </c>
      <c r="K11" t="s">
        <v>37</v>
      </c>
    </row>
    <row r="12" spans="1:11" x14ac:dyDescent="0.25">
      <c r="A12" s="4" t="s">
        <v>155</v>
      </c>
      <c r="B12" s="1">
        <v>301016.34000000003</v>
      </c>
      <c r="C12" s="1">
        <v>8272900</v>
      </c>
      <c r="D12" s="1">
        <v>7971883.6600000001</v>
      </c>
      <c r="E12" s="1">
        <v>0</v>
      </c>
      <c r="F12" s="1">
        <v>7971883.6600000001</v>
      </c>
      <c r="G12" s="2">
        <v>0.96361416915470999</v>
      </c>
      <c r="H12" s="3">
        <v>0</v>
      </c>
      <c r="I12" s="3">
        <v>0</v>
      </c>
      <c r="J12" s="3">
        <v>0.99</v>
      </c>
      <c r="K12" t="s">
        <v>33</v>
      </c>
    </row>
    <row r="13" spans="1:11" x14ac:dyDescent="0.25">
      <c r="A13" s="4" t="s">
        <v>154</v>
      </c>
      <c r="B13" s="1">
        <v>2000</v>
      </c>
      <c r="C13" s="1">
        <v>24000000</v>
      </c>
      <c r="D13" s="1">
        <v>0</v>
      </c>
      <c r="E13" s="1">
        <v>0</v>
      </c>
      <c r="F13" s="1">
        <v>0</v>
      </c>
      <c r="G13" s="2">
        <v>0</v>
      </c>
      <c r="H13" s="3">
        <v>0</v>
      </c>
      <c r="I13" s="3">
        <v>0</v>
      </c>
      <c r="J13" s="3">
        <v>0</v>
      </c>
      <c r="K13" t="s">
        <v>36</v>
      </c>
    </row>
    <row r="14" spans="1:11" x14ac:dyDescent="0.25">
      <c r="A14" s="4" t="s">
        <v>153</v>
      </c>
      <c r="B14" s="1">
        <v>2000</v>
      </c>
      <c r="C14" s="1">
        <v>24000000</v>
      </c>
      <c r="D14" s="1">
        <v>0</v>
      </c>
      <c r="E14" s="1">
        <v>0</v>
      </c>
      <c r="F14" s="1">
        <v>0</v>
      </c>
      <c r="G14" s="2">
        <v>0</v>
      </c>
      <c r="H14" s="3">
        <v>0</v>
      </c>
      <c r="I14" s="3">
        <v>0</v>
      </c>
      <c r="J14" s="3">
        <v>0</v>
      </c>
      <c r="K14" t="s">
        <v>32</v>
      </c>
    </row>
    <row r="15" spans="1:11" x14ac:dyDescent="0.25">
      <c r="A15" s="4" t="s">
        <v>152</v>
      </c>
      <c r="B15" s="1">
        <v>2000</v>
      </c>
      <c r="C15" s="1">
        <v>3200000</v>
      </c>
      <c r="D15" s="1">
        <v>0</v>
      </c>
      <c r="E15" s="1">
        <v>0</v>
      </c>
      <c r="F15" s="1">
        <v>0</v>
      </c>
      <c r="G15" s="2">
        <v>0</v>
      </c>
      <c r="H15" s="3">
        <v>0</v>
      </c>
      <c r="I15" s="3">
        <v>0</v>
      </c>
      <c r="J15" s="3">
        <v>0</v>
      </c>
      <c r="K15" t="s">
        <v>40</v>
      </c>
    </row>
    <row r="16" spans="1:11" x14ac:dyDescent="0.25">
      <c r="B16" s="1">
        <f>SUBTOTAL(109,Table137[Toplam Yıl Ödeneği])</f>
        <v>995311444.30000007</v>
      </c>
      <c r="C16" s="1">
        <f>SUBTOTAL(109,Table137[Toplam Proje Tutarı])</f>
        <v>1665535312</v>
      </c>
      <c r="D16" s="1">
        <f>SUBTOTAL(109,Table137[Önceki Yıllar Toplam Harcaması])</f>
        <v>459797242.69999999</v>
      </c>
      <c r="E16" s="1">
        <f>SUBTOTAL(109,Table137[Yılı Harcama Tutarı])</f>
        <v>433164402.75999999</v>
      </c>
      <c r="F16" s="1">
        <f>SUBTOTAL(109,Table137[Toplam Harcama Tutarı])</f>
        <v>892961645.45999992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0F35-ABBF-43DB-9560-F34C678F0EFD}">
  <dimension ref="A1:K18"/>
  <sheetViews>
    <sheetView topLeftCell="A13" workbookViewId="0">
      <selection activeCell="M7" sqref="M7"/>
    </sheetView>
  </sheetViews>
  <sheetFormatPr defaultRowHeight="15" x14ac:dyDescent="0.25"/>
  <cols>
    <col min="1" max="1" width="35.5703125" customWidth="1"/>
    <col min="2" max="3" width="11.5703125" customWidth="1"/>
  </cols>
  <sheetData>
    <row r="1" spans="1:11" x14ac:dyDescent="0.25">
      <c r="A1" s="8" t="s">
        <v>412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1" ht="45" x14ac:dyDescent="0.25">
      <c r="A4" s="4" t="s">
        <v>173</v>
      </c>
      <c r="B4" s="1">
        <v>30319</v>
      </c>
      <c r="C4" s="1">
        <v>57880</v>
      </c>
      <c r="D4" s="1">
        <v>0</v>
      </c>
      <c r="E4" s="1">
        <v>19945</v>
      </c>
      <c r="F4" s="1">
        <v>19945</v>
      </c>
      <c r="G4" s="2">
        <v>0.34459225984796099</v>
      </c>
      <c r="H4" s="3">
        <v>0.13813780137867299</v>
      </c>
      <c r="I4" s="3">
        <v>0.65783831920577895</v>
      </c>
      <c r="J4" s="3">
        <v>0.44</v>
      </c>
    </row>
    <row r="5" spans="1:11" ht="45" x14ac:dyDescent="0.25">
      <c r="A5" s="4" t="s">
        <v>172</v>
      </c>
      <c r="B5" s="1">
        <v>227171</v>
      </c>
      <c r="C5" s="1">
        <v>252371</v>
      </c>
      <c r="D5" s="1">
        <v>0</v>
      </c>
      <c r="E5" s="1">
        <v>158190.78</v>
      </c>
      <c r="F5" s="1">
        <v>158190.78</v>
      </c>
      <c r="G5" s="2">
        <v>0.62681837453590195</v>
      </c>
      <c r="H5" s="3">
        <v>0.40604117603039103</v>
      </c>
      <c r="I5" s="3">
        <v>0.69635111876075695</v>
      </c>
      <c r="J5" s="3">
        <v>0.73</v>
      </c>
    </row>
    <row r="6" spans="1:11" x14ac:dyDescent="0.25">
      <c r="A6" s="4" t="s">
        <v>171</v>
      </c>
      <c r="B6" s="1">
        <v>3151489</v>
      </c>
      <c r="C6" s="1">
        <v>3151489</v>
      </c>
      <c r="D6" s="1">
        <v>0</v>
      </c>
      <c r="E6" s="1">
        <v>628407.48</v>
      </c>
      <c r="F6" s="1">
        <v>628407.48</v>
      </c>
      <c r="G6" s="2">
        <v>0.199400181945741</v>
      </c>
      <c r="H6" s="3">
        <v>0.199400181945741</v>
      </c>
      <c r="I6" s="3">
        <v>0.199400181945741</v>
      </c>
      <c r="J6" s="3">
        <v>0.3</v>
      </c>
      <c r="K6" t="s">
        <v>33</v>
      </c>
    </row>
    <row r="7" spans="1:11" ht="30" x14ac:dyDescent="0.25">
      <c r="A7" s="4" t="s">
        <v>170</v>
      </c>
      <c r="B7" s="1">
        <v>170000000</v>
      </c>
      <c r="C7" s="1">
        <v>170000000</v>
      </c>
      <c r="D7" s="1">
        <v>0</v>
      </c>
      <c r="E7" s="1">
        <v>0</v>
      </c>
      <c r="F7" s="1">
        <v>0</v>
      </c>
      <c r="G7" s="2">
        <v>0</v>
      </c>
      <c r="H7" s="3">
        <v>0</v>
      </c>
      <c r="I7" s="3">
        <v>0</v>
      </c>
      <c r="J7" s="3">
        <v>0</v>
      </c>
      <c r="K7" t="s">
        <v>33</v>
      </c>
    </row>
    <row r="8" spans="1:11" ht="30" x14ac:dyDescent="0.25">
      <c r="A8" s="4" t="s">
        <v>169</v>
      </c>
      <c r="B8" s="1">
        <v>40000</v>
      </c>
      <c r="C8" s="1">
        <v>40000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0.1</v>
      </c>
      <c r="K8" t="s">
        <v>33</v>
      </c>
    </row>
    <row r="9" spans="1:11" ht="30" x14ac:dyDescent="0.25">
      <c r="A9" s="4" t="s">
        <v>168</v>
      </c>
      <c r="B9" s="1">
        <v>1505000</v>
      </c>
      <c r="C9" s="1">
        <v>1505000</v>
      </c>
      <c r="D9" s="1">
        <v>0</v>
      </c>
      <c r="E9" s="1">
        <v>121660.58</v>
      </c>
      <c r="F9" s="1">
        <v>121660.58</v>
      </c>
      <c r="G9" s="2">
        <v>8.0837594684385394E-2</v>
      </c>
      <c r="H9" s="3">
        <v>8.0837594684385394E-2</v>
      </c>
      <c r="I9" s="3">
        <v>8.0837594684385394E-2</v>
      </c>
      <c r="J9" s="3">
        <v>0.18</v>
      </c>
      <c r="K9" t="s">
        <v>33</v>
      </c>
    </row>
    <row r="10" spans="1:11" x14ac:dyDescent="0.25">
      <c r="A10" s="4" t="s">
        <v>167</v>
      </c>
      <c r="B10" s="1">
        <v>136875</v>
      </c>
      <c r="C10" s="1">
        <v>204725</v>
      </c>
      <c r="D10" s="1">
        <v>0</v>
      </c>
      <c r="E10" s="1">
        <v>109794.77</v>
      </c>
      <c r="F10" s="1">
        <v>109794.77</v>
      </c>
      <c r="G10" s="2">
        <v>0.53630367566247406</v>
      </c>
      <c r="H10" s="3">
        <v>0.12645676712328799</v>
      </c>
      <c r="I10" s="3">
        <v>0.80215357077625604</v>
      </c>
      <c r="J10" s="3">
        <v>0.64</v>
      </c>
      <c r="K10" t="s">
        <v>33</v>
      </c>
    </row>
    <row r="11" spans="1:11" ht="45" x14ac:dyDescent="0.25">
      <c r="A11" s="4" t="s">
        <v>166</v>
      </c>
      <c r="B11" s="1">
        <v>249997</v>
      </c>
      <c r="C11" s="1">
        <v>249997</v>
      </c>
      <c r="D11" s="1">
        <v>0</v>
      </c>
      <c r="E11" s="1">
        <v>0</v>
      </c>
      <c r="F11" s="1">
        <v>0</v>
      </c>
      <c r="G11" s="2">
        <v>0</v>
      </c>
      <c r="H11" s="3">
        <v>0</v>
      </c>
      <c r="I11" s="3">
        <v>0</v>
      </c>
      <c r="J11" s="3">
        <v>0.1</v>
      </c>
      <c r="K11" t="s">
        <v>33</v>
      </c>
    </row>
    <row r="12" spans="1:11" ht="30" x14ac:dyDescent="0.25">
      <c r="A12" s="4" t="s">
        <v>165</v>
      </c>
      <c r="B12" s="1">
        <v>414202</v>
      </c>
      <c r="C12" s="1">
        <v>414202</v>
      </c>
      <c r="D12" s="1">
        <v>0</v>
      </c>
      <c r="E12" s="1">
        <v>410013.8</v>
      </c>
      <c r="F12" s="1">
        <v>410013.8</v>
      </c>
      <c r="G12" s="2">
        <v>0.98988850850551202</v>
      </c>
      <c r="H12" s="3">
        <v>0.870642295305189</v>
      </c>
      <c r="I12" s="3">
        <v>0.98988850850551202</v>
      </c>
      <c r="J12" s="3">
        <v>0.99</v>
      </c>
      <c r="K12" t="s">
        <v>87</v>
      </c>
    </row>
    <row r="13" spans="1:11" ht="45" x14ac:dyDescent="0.25">
      <c r="A13" s="4" t="s">
        <v>164</v>
      </c>
      <c r="B13" s="1">
        <v>106000</v>
      </c>
      <c r="C13" s="1">
        <v>114999</v>
      </c>
      <c r="D13" s="1">
        <v>0</v>
      </c>
      <c r="E13" s="1">
        <v>6000</v>
      </c>
      <c r="F13" s="1">
        <v>6000</v>
      </c>
      <c r="G13" s="2">
        <v>5.21743667336238E-2</v>
      </c>
      <c r="H13" s="3">
        <v>3.5377358490566002E-2</v>
      </c>
      <c r="I13" s="3">
        <v>5.6603773584905703E-2</v>
      </c>
      <c r="J13" s="3">
        <v>0.15</v>
      </c>
      <c r="K13" t="s">
        <v>33</v>
      </c>
    </row>
    <row r="14" spans="1:11" ht="30" x14ac:dyDescent="0.25">
      <c r="A14" s="4" t="s">
        <v>163</v>
      </c>
      <c r="B14" s="1">
        <v>1375</v>
      </c>
      <c r="C14" s="1">
        <v>2500</v>
      </c>
      <c r="D14" s="1">
        <v>0</v>
      </c>
      <c r="E14" s="1">
        <v>1375</v>
      </c>
      <c r="F14" s="1">
        <v>1375</v>
      </c>
      <c r="G14" s="2">
        <v>0.55000000000000004</v>
      </c>
      <c r="H14" s="3">
        <v>0.54545454545454497</v>
      </c>
      <c r="I14" s="3">
        <v>1</v>
      </c>
      <c r="J14" s="3">
        <v>0.65</v>
      </c>
      <c r="K14" t="s">
        <v>33</v>
      </c>
    </row>
    <row r="15" spans="1:11" ht="45" x14ac:dyDescent="0.25">
      <c r="A15" s="4" t="s">
        <v>162</v>
      </c>
      <c r="B15" s="1">
        <v>4426</v>
      </c>
      <c r="C15" s="1">
        <v>8299</v>
      </c>
      <c r="D15" s="1">
        <v>0</v>
      </c>
      <c r="E15" s="1">
        <v>4426</v>
      </c>
      <c r="F15" s="1">
        <v>4426</v>
      </c>
      <c r="G15" s="2">
        <v>0.533317267140619</v>
      </c>
      <c r="H15" s="3">
        <v>0.562584726615454</v>
      </c>
      <c r="I15" s="3">
        <v>1</v>
      </c>
      <c r="J15" s="3">
        <v>0.63</v>
      </c>
      <c r="K15" t="s">
        <v>33</v>
      </c>
    </row>
    <row r="16" spans="1:11" x14ac:dyDescent="0.25">
      <c r="A16" s="4" t="s">
        <v>161</v>
      </c>
      <c r="B16" s="1">
        <v>1029011</v>
      </c>
      <c r="C16" s="1">
        <v>2499999</v>
      </c>
      <c r="D16" s="1">
        <v>0</v>
      </c>
      <c r="E16" s="1">
        <v>698635.18</v>
      </c>
      <c r="F16" s="1">
        <v>698635.18</v>
      </c>
      <c r="G16" s="2">
        <v>0.27945418378167403</v>
      </c>
      <c r="H16" s="3">
        <v>0.40945730414932402</v>
      </c>
      <c r="I16" s="3">
        <v>0.67893849531248895</v>
      </c>
      <c r="J16" s="3">
        <v>0.38</v>
      </c>
      <c r="K16" t="s">
        <v>33</v>
      </c>
    </row>
    <row r="17" spans="1:11" x14ac:dyDescent="0.25">
      <c r="A17" s="4" t="s">
        <v>160</v>
      </c>
      <c r="B17" s="1">
        <v>36830</v>
      </c>
      <c r="C17" s="1">
        <v>87480</v>
      </c>
      <c r="D17" s="1">
        <v>0</v>
      </c>
      <c r="E17" s="1">
        <v>9362</v>
      </c>
      <c r="F17" s="1">
        <v>9362</v>
      </c>
      <c r="G17" s="2">
        <v>0.107018747142204</v>
      </c>
      <c r="H17" s="3">
        <v>0.13689926690198201</v>
      </c>
      <c r="I17" s="3">
        <v>0.25419494976920998</v>
      </c>
      <c r="J17" s="3">
        <v>0.21</v>
      </c>
      <c r="K17" t="s">
        <v>87</v>
      </c>
    </row>
    <row r="18" spans="1:11" x14ac:dyDescent="0.25">
      <c r="B18" s="1">
        <f>SUBTOTAL(109,Table138[Toplam Yıl Ödeneği])</f>
        <v>176932695</v>
      </c>
      <c r="C18" s="1">
        <f>SUBTOTAL(109,Table138[Toplam Proje Tutarı])</f>
        <v>178588941</v>
      </c>
      <c r="D18" s="1">
        <f>SUBTOTAL(109,Table138[Önceki Yıllar Toplam Harcaması])</f>
        <v>0</v>
      </c>
      <c r="E18" s="1">
        <f>SUBTOTAL(109,Table138[Yılı Harcama Tutarı])</f>
        <v>2167810.59</v>
      </c>
      <c r="F18" s="1">
        <f>SUBTOTAL(109,Table138[Toplam Harcama Tutarı])</f>
        <v>2167810.59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D6C5-D866-4785-A8D3-645EA22D849C}">
  <sheetPr>
    <pageSetUpPr fitToPage="1"/>
  </sheetPr>
  <dimension ref="A1:L16"/>
  <sheetViews>
    <sheetView topLeftCell="A10" workbookViewId="0">
      <selection activeCell="M12" sqref="M12"/>
    </sheetView>
  </sheetViews>
  <sheetFormatPr defaultRowHeight="15" x14ac:dyDescent="0.25"/>
  <cols>
    <col min="1" max="1" width="35.85546875" customWidth="1"/>
    <col min="2" max="2" width="10.85546875" customWidth="1"/>
    <col min="3" max="3" width="11.85546875" customWidth="1"/>
    <col min="4" max="4" width="11.42578125" customWidth="1"/>
    <col min="5" max="5" width="11" customWidth="1"/>
    <col min="6" max="6" width="10.85546875" customWidth="1"/>
  </cols>
  <sheetData>
    <row r="1" spans="1:12" x14ac:dyDescent="0.25">
      <c r="A1" s="9" t="s">
        <v>413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ht="30" x14ac:dyDescent="0.25">
      <c r="A4" s="4" t="s">
        <v>414</v>
      </c>
      <c r="B4" s="1">
        <v>370272</v>
      </c>
      <c r="C4" s="1">
        <v>505716</v>
      </c>
      <c r="D4" s="1">
        <v>0</v>
      </c>
      <c r="E4" s="1">
        <v>370272</v>
      </c>
      <c r="F4" s="1">
        <v>370272</v>
      </c>
      <c r="G4" s="2">
        <v>0.73217378924139198</v>
      </c>
      <c r="H4" s="3">
        <v>1</v>
      </c>
      <c r="I4" s="3">
        <v>1</v>
      </c>
      <c r="J4" s="3">
        <v>1</v>
      </c>
      <c r="K4" t="s">
        <v>33</v>
      </c>
    </row>
    <row r="5" spans="1:12" x14ac:dyDescent="0.25">
      <c r="A5" s="4" t="s">
        <v>181</v>
      </c>
      <c r="B5" s="1">
        <v>4774897</v>
      </c>
      <c r="C5" s="1">
        <v>7420378</v>
      </c>
      <c r="D5" s="1">
        <v>2645481</v>
      </c>
      <c r="E5" s="1">
        <v>2151416</v>
      </c>
      <c r="F5" s="1">
        <v>4796897</v>
      </c>
      <c r="G5" s="2">
        <v>0.64644914315685797</v>
      </c>
      <c r="H5" s="3">
        <v>0.450568043666701</v>
      </c>
      <c r="I5" s="3">
        <v>0.450568043666701</v>
      </c>
      <c r="J5" s="3">
        <v>0.65</v>
      </c>
      <c r="K5" t="s">
        <v>33</v>
      </c>
    </row>
    <row r="6" spans="1:12" x14ac:dyDescent="0.25">
      <c r="A6" s="4" t="s">
        <v>180</v>
      </c>
      <c r="B6" s="1">
        <v>1</v>
      </c>
      <c r="C6" s="1">
        <v>1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0.95</v>
      </c>
      <c r="K6" t="s">
        <v>33</v>
      </c>
    </row>
    <row r="7" spans="1:12" ht="30" x14ac:dyDescent="0.25">
      <c r="A7" s="4" t="s">
        <v>179</v>
      </c>
      <c r="B7" s="1">
        <v>1</v>
      </c>
      <c r="C7" s="1">
        <v>1</v>
      </c>
      <c r="D7" s="1">
        <v>0</v>
      </c>
      <c r="E7" s="1">
        <v>0</v>
      </c>
      <c r="F7" s="1">
        <v>0</v>
      </c>
      <c r="G7" s="2">
        <v>0</v>
      </c>
      <c r="H7" s="3">
        <v>0</v>
      </c>
      <c r="I7" s="3">
        <v>0</v>
      </c>
      <c r="J7" s="3">
        <v>0.35</v>
      </c>
      <c r="K7" t="s">
        <v>33</v>
      </c>
    </row>
    <row r="8" spans="1:12" x14ac:dyDescent="0.25">
      <c r="A8" s="4" t="s">
        <v>178</v>
      </c>
      <c r="B8" s="1">
        <v>24777199</v>
      </c>
      <c r="C8" s="1">
        <v>94823821</v>
      </c>
      <c r="D8" s="1">
        <v>23076663</v>
      </c>
      <c r="E8" s="1">
        <v>12455543.220000001</v>
      </c>
      <c r="F8" s="1">
        <v>35532206.219999999</v>
      </c>
      <c r="G8" s="2">
        <v>0.37471814408322601</v>
      </c>
      <c r="H8" s="3">
        <v>0.14411501679427099</v>
      </c>
      <c r="I8" s="3">
        <v>0.502701827595605</v>
      </c>
      <c r="J8" s="3">
        <v>0.37</v>
      </c>
      <c r="K8" t="s">
        <v>33</v>
      </c>
    </row>
    <row r="9" spans="1:12" x14ac:dyDescent="0.25">
      <c r="A9" s="4" t="s">
        <v>177</v>
      </c>
      <c r="B9" s="1">
        <v>21464191</v>
      </c>
      <c r="C9" s="1">
        <v>27687075</v>
      </c>
      <c r="D9" s="1">
        <v>6222884</v>
      </c>
      <c r="E9" s="1">
        <v>12233439</v>
      </c>
      <c r="F9" s="1">
        <v>18456323</v>
      </c>
      <c r="G9" s="2">
        <v>0.66660429099137397</v>
      </c>
      <c r="H9" s="3">
        <v>0.56994642844913201</v>
      </c>
      <c r="I9" s="3">
        <v>0.56994642844913201</v>
      </c>
      <c r="J9" s="3">
        <v>0.65</v>
      </c>
      <c r="K9" t="s">
        <v>33</v>
      </c>
    </row>
    <row r="10" spans="1:12" x14ac:dyDescent="0.25">
      <c r="A10" s="4" t="s">
        <v>176</v>
      </c>
      <c r="B10" s="1">
        <v>1</v>
      </c>
      <c r="C10" s="1">
        <v>1</v>
      </c>
      <c r="D10" s="1">
        <v>0</v>
      </c>
      <c r="E10" s="1">
        <v>0</v>
      </c>
      <c r="F10" s="1">
        <v>0</v>
      </c>
      <c r="G10" s="2">
        <v>0</v>
      </c>
      <c r="H10" s="3">
        <v>0</v>
      </c>
      <c r="I10" s="3">
        <v>0</v>
      </c>
      <c r="J10" s="3">
        <v>0.6</v>
      </c>
      <c r="K10" t="s">
        <v>32</v>
      </c>
    </row>
    <row r="11" spans="1:12" x14ac:dyDescent="0.25">
      <c r="A11" s="4" t="s">
        <v>175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2">
        <v>0</v>
      </c>
      <c r="H11" s="3">
        <v>0</v>
      </c>
      <c r="I11" s="3">
        <v>0</v>
      </c>
      <c r="J11" s="3">
        <v>0.9</v>
      </c>
      <c r="K11" t="s">
        <v>33</v>
      </c>
    </row>
    <row r="12" spans="1:12" ht="30" x14ac:dyDescent="0.25">
      <c r="A12" s="4" t="s">
        <v>174</v>
      </c>
      <c r="B12" s="1">
        <v>7300000</v>
      </c>
      <c r="C12" s="1">
        <v>73000000</v>
      </c>
      <c r="D12" s="1">
        <v>0</v>
      </c>
      <c r="E12" s="1">
        <v>0</v>
      </c>
      <c r="F12" s="1">
        <v>0</v>
      </c>
      <c r="G12" s="2">
        <v>0</v>
      </c>
      <c r="H12" s="3">
        <v>0</v>
      </c>
      <c r="I12" s="3">
        <v>0</v>
      </c>
      <c r="J12" s="3">
        <v>0</v>
      </c>
      <c r="K12" t="s">
        <v>33</v>
      </c>
    </row>
    <row r="13" spans="1:12" ht="30" x14ac:dyDescent="0.25">
      <c r="A13" s="4" t="s">
        <v>415</v>
      </c>
      <c r="B13" s="1">
        <v>1075912</v>
      </c>
      <c r="C13" s="1">
        <v>1364648</v>
      </c>
      <c r="D13" s="1">
        <v>0</v>
      </c>
      <c r="E13" s="1">
        <v>1075912</v>
      </c>
      <c r="F13" s="1">
        <v>1075912</v>
      </c>
      <c r="G13" s="2">
        <v>0.78841723286884202</v>
      </c>
      <c r="H13" s="3">
        <v>1</v>
      </c>
      <c r="I13" s="3">
        <v>1</v>
      </c>
      <c r="J13" s="3">
        <v>1</v>
      </c>
      <c r="K13" t="s">
        <v>87</v>
      </c>
    </row>
    <row r="14" spans="1:12" ht="30" x14ac:dyDescent="0.25">
      <c r="A14" s="4" t="s">
        <v>416</v>
      </c>
      <c r="B14" s="1">
        <v>811393.22</v>
      </c>
      <c r="C14" s="1">
        <v>29155586</v>
      </c>
      <c r="D14" s="1">
        <v>0</v>
      </c>
      <c r="E14" s="1">
        <v>811393.22</v>
      </c>
      <c r="F14" s="1">
        <v>811393.22</v>
      </c>
      <c r="G14" s="2">
        <v>2.7829768882024899E-2</v>
      </c>
      <c r="H14" s="3">
        <v>1</v>
      </c>
      <c r="I14" s="3">
        <v>1</v>
      </c>
      <c r="J14" s="3">
        <v>1</v>
      </c>
      <c r="K14" t="s">
        <v>87</v>
      </c>
    </row>
    <row r="15" spans="1:12" x14ac:dyDescent="0.25">
      <c r="A15" s="4" t="s">
        <v>417</v>
      </c>
      <c r="B15" s="1">
        <v>885154.4</v>
      </c>
      <c r="C15" s="1">
        <v>8821080</v>
      </c>
      <c r="D15" s="1">
        <v>0</v>
      </c>
      <c r="E15" s="1">
        <v>885154.4</v>
      </c>
      <c r="F15" s="1">
        <v>885154.4</v>
      </c>
      <c r="G15" s="2">
        <v>0.100345354537086</v>
      </c>
      <c r="H15" s="3">
        <v>1</v>
      </c>
      <c r="I15" s="3">
        <v>1</v>
      </c>
      <c r="J15" s="3">
        <v>1</v>
      </c>
      <c r="K15" t="s">
        <v>87</v>
      </c>
    </row>
    <row r="16" spans="1:12" x14ac:dyDescent="0.25">
      <c r="B16" s="1">
        <f>SUBTOTAL(109,Table139[Toplam Yıl Ödeneği])</f>
        <v>61459022.619999997</v>
      </c>
      <c r="C16" s="1">
        <f>SUBTOTAL(109,Table139[Toplam Proje Tutarı])</f>
        <v>242778308</v>
      </c>
      <c r="D16" s="1">
        <f>SUBTOTAL(109,Table139[Önceki Yıllar Toplam Harcaması])</f>
        <v>31945028</v>
      </c>
      <c r="E16" s="1">
        <f>SUBTOTAL(109,Table139[Yılı Harcama Tutarı])</f>
        <v>29983129.839999996</v>
      </c>
      <c r="F16" s="1">
        <f>SUBTOTAL(109,Table139[Toplam Harcama Tutarı])</f>
        <v>61928157.839999996</v>
      </c>
    </row>
  </sheetData>
  <mergeCells count="1">
    <mergeCell ref="A1:L1"/>
  </mergeCells>
  <pageMargins left="0.7" right="0.7" top="0.75" bottom="0.75" header="0.3" footer="0.3"/>
  <pageSetup paperSize="9" scale="8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152D-104B-411B-B374-44D87CE9104C}">
  <sheetPr>
    <pageSetUpPr fitToPage="1"/>
  </sheetPr>
  <dimension ref="A1:J14"/>
  <sheetViews>
    <sheetView topLeftCell="A10" workbookViewId="0">
      <selection activeCell="F19" sqref="F19"/>
    </sheetView>
  </sheetViews>
  <sheetFormatPr defaultRowHeight="15" x14ac:dyDescent="0.25"/>
  <cols>
    <col min="1" max="1" width="14.7109375" customWidth="1"/>
    <col min="3" max="3" width="13.5703125" customWidth="1"/>
    <col min="4" max="4" width="14" customWidth="1"/>
    <col min="5" max="5" width="13.7109375" customWidth="1"/>
    <col min="6" max="6" width="12.5703125" customWidth="1"/>
    <col min="7" max="7" width="14.7109375" customWidth="1"/>
  </cols>
  <sheetData>
    <row r="1" spans="1:10" x14ac:dyDescent="0.25">
      <c r="A1" s="8" t="s">
        <v>235</v>
      </c>
      <c r="B1" s="8"/>
      <c r="C1" s="8"/>
      <c r="D1" s="8"/>
      <c r="E1" s="8"/>
      <c r="F1" s="8"/>
      <c r="G1" s="8"/>
      <c r="H1" s="8"/>
      <c r="I1" s="8"/>
      <c r="J1" s="8"/>
    </row>
    <row r="3" spans="1:10" ht="60" x14ac:dyDescent="0.25">
      <c r="A3" t="s">
        <v>30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9</v>
      </c>
      <c r="J3" s="4" t="s">
        <v>10</v>
      </c>
    </row>
    <row r="4" spans="1:10" ht="25.5" customHeight="1" x14ac:dyDescent="0.25">
      <c r="A4" t="s">
        <v>31</v>
      </c>
      <c r="B4" s="1">
        <v>162</v>
      </c>
      <c r="C4" s="1">
        <v>482162813.33999997</v>
      </c>
      <c r="D4" s="1">
        <v>6758764491.5500002</v>
      </c>
      <c r="E4" s="1">
        <v>2961262275.9299998</v>
      </c>
      <c r="F4" s="1">
        <v>218155595.75</v>
      </c>
      <c r="G4" s="1">
        <v>3179417871.6799998</v>
      </c>
      <c r="H4" s="2">
        <v>0.47041406393949597</v>
      </c>
      <c r="I4" s="3">
        <v>0.452452137979721</v>
      </c>
      <c r="J4" s="3">
        <v>0.37424242424242399</v>
      </c>
    </row>
    <row r="5" spans="1:10" ht="25.5" customHeight="1" x14ac:dyDescent="0.25">
      <c r="A5" t="s">
        <v>32</v>
      </c>
      <c r="B5" s="1">
        <v>28</v>
      </c>
      <c r="C5" s="1">
        <v>99490376.340000004</v>
      </c>
      <c r="D5" s="1">
        <v>6032423416.8000002</v>
      </c>
      <c r="E5" s="1">
        <v>737379640.75999999</v>
      </c>
      <c r="F5" s="1">
        <v>90190449.650000006</v>
      </c>
      <c r="G5" s="1">
        <v>827570090.40999997</v>
      </c>
      <c r="H5" s="2">
        <v>0.13718700317110699</v>
      </c>
      <c r="I5" s="3">
        <v>0.906524359117727</v>
      </c>
      <c r="J5" s="3">
        <v>0.195636363636364</v>
      </c>
    </row>
    <row r="6" spans="1:10" ht="26.25" customHeight="1" x14ac:dyDescent="0.25">
      <c r="A6" t="s">
        <v>33</v>
      </c>
      <c r="B6" s="1">
        <v>111</v>
      </c>
      <c r="C6" s="1">
        <v>1807185647.6600001</v>
      </c>
      <c r="D6" s="1">
        <v>5116786612.1999998</v>
      </c>
      <c r="E6" s="1">
        <v>857117555.54999995</v>
      </c>
      <c r="F6" s="1">
        <v>640502874.32000005</v>
      </c>
      <c r="G6" s="1">
        <v>1497620429.8699999</v>
      </c>
      <c r="H6" s="2">
        <v>0.29268768533344902</v>
      </c>
      <c r="I6" s="3">
        <v>0.35442007585072599</v>
      </c>
      <c r="J6" s="3">
        <v>0.29917431192660499</v>
      </c>
    </row>
    <row r="7" spans="1:10" ht="27" customHeight="1" x14ac:dyDescent="0.25">
      <c r="A7" t="s">
        <v>35</v>
      </c>
      <c r="B7" s="1">
        <v>15</v>
      </c>
      <c r="C7" s="1">
        <v>10758550.6</v>
      </c>
      <c r="D7" s="1">
        <v>2532861444.0700002</v>
      </c>
      <c r="E7" s="1">
        <v>610782975.47000003</v>
      </c>
      <c r="F7" s="1">
        <v>2832752.78</v>
      </c>
      <c r="G7" s="1">
        <v>613615728.25</v>
      </c>
      <c r="H7" s="2">
        <v>0.24226186145579101</v>
      </c>
      <c r="I7" s="3">
        <v>0.26330245451464401</v>
      </c>
      <c r="J7" s="3">
        <v>0.36</v>
      </c>
    </row>
    <row r="8" spans="1:10" ht="25.5" customHeight="1" x14ac:dyDescent="0.25">
      <c r="A8" t="s">
        <v>38</v>
      </c>
      <c r="B8" s="1">
        <v>23</v>
      </c>
      <c r="C8" s="1">
        <v>23648471.829999998</v>
      </c>
      <c r="D8" s="1">
        <v>1085493289.55</v>
      </c>
      <c r="E8" s="1">
        <v>16667113.109999999</v>
      </c>
      <c r="F8" s="1">
        <v>4268236.12</v>
      </c>
      <c r="G8" s="1">
        <v>20935349.23</v>
      </c>
      <c r="H8" s="2">
        <v>1.9286484247801199E-2</v>
      </c>
      <c r="I8" s="3">
        <v>0.18048676255627599</v>
      </c>
      <c r="J8" s="3">
        <v>0.202222222222222</v>
      </c>
    </row>
    <row r="9" spans="1:10" ht="30.75" customHeight="1" x14ac:dyDescent="0.25">
      <c r="A9" t="s">
        <v>34</v>
      </c>
      <c r="B9" s="1">
        <v>28</v>
      </c>
      <c r="C9" s="1">
        <v>31167193.82</v>
      </c>
      <c r="D9" s="1">
        <v>764278578.38</v>
      </c>
      <c r="E9" s="1">
        <v>52254310.030000001</v>
      </c>
      <c r="F9" s="1">
        <v>2400966.44</v>
      </c>
      <c r="G9" s="1">
        <v>54655276.469999999</v>
      </c>
      <c r="H9" s="2">
        <v>7.1512244378024906E-2</v>
      </c>
      <c r="I9" s="3">
        <v>7.7035053391919406E-2</v>
      </c>
      <c r="J9" s="3">
        <v>2.0727272727272698E-2</v>
      </c>
    </row>
    <row r="10" spans="1:10" ht="26.25" customHeight="1" x14ac:dyDescent="0.25">
      <c r="A10" t="s">
        <v>36</v>
      </c>
      <c r="B10" s="1">
        <v>53</v>
      </c>
      <c r="C10" s="1">
        <v>49963505.200000003</v>
      </c>
      <c r="D10" s="1">
        <v>640819196.62</v>
      </c>
      <c r="E10" s="1">
        <v>89461414</v>
      </c>
      <c r="F10" s="1">
        <v>14375638.199999999</v>
      </c>
      <c r="G10" s="1">
        <v>103837052.2</v>
      </c>
      <c r="H10" s="2">
        <v>0.16203798629580399</v>
      </c>
      <c r="I10" s="3">
        <v>0.28772277170017302</v>
      </c>
      <c r="J10" s="3">
        <v>0.18098039215686301</v>
      </c>
    </row>
    <row r="11" spans="1:10" ht="25.5" customHeight="1" x14ac:dyDescent="0.25">
      <c r="A11" t="s">
        <v>37</v>
      </c>
      <c r="B11" s="1">
        <v>18</v>
      </c>
      <c r="C11" s="1">
        <v>26898080.09</v>
      </c>
      <c r="D11" s="1">
        <v>192808243.56999999</v>
      </c>
      <c r="E11" s="1">
        <v>6058950.7000000002</v>
      </c>
      <c r="F11" s="1">
        <v>4665280.68</v>
      </c>
      <c r="G11" s="1">
        <v>10724231.380000001</v>
      </c>
      <c r="H11" s="2">
        <v>5.5621228539984698E-2</v>
      </c>
      <c r="I11" s="3">
        <v>0.17344288753658799</v>
      </c>
      <c r="J11" s="3">
        <v>0.15675675675675699</v>
      </c>
    </row>
    <row r="12" spans="1:10" ht="26.25" customHeight="1" x14ac:dyDescent="0.25">
      <c r="A12" t="s">
        <v>39</v>
      </c>
      <c r="B12" s="1">
        <v>16</v>
      </c>
      <c r="C12" s="1">
        <v>15931362.310000001</v>
      </c>
      <c r="D12" s="1">
        <v>95170509.670000002</v>
      </c>
      <c r="E12" s="1">
        <v>17947713.5</v>
      </c>
      <c r="F12" s="1">
        <v>5099695.5599999996</v>
      </c>
      <c r="G12" s="1">
        <v>23047409.059999999</v>
      </c>
      <c r="H12" s="2">
        <v>0.24216965045071201</v>
      </c>
      <c r="I12" s="3">
        <v>0.32010417318793599</v>
      </c>
      <c r="J12" s="3">
        <v>0.108125</v>
      </c>
    </row>
    <row r="13" spans="1:10" ht="27" customHeight="1" x14ac:dyDescent="0.25">
      <c r="A13" t="s">
        <v>40</v>
      </c>
      <c r="B13" s="1">
        <v>7</v>
      </c>
      <c r="C13" s="1">
        <v>892001</v>
      </c>
      <c r="D13" s="1">
        <v>24090000</v>
      </c>
      <c r="E13" s="1">
        <v>0</v>
      </c>
      <c r="F13" s="1">
        <v>450000</v>
      </c>
      <c r="G13" s="1">
        <v>450000</v>
      </c>
      <c r="H13" s="2">
        <v>1.86799501867995E-2</v>
      </c>
      <c r="I13" s="3">
        <v>0.50448373936800495</v>
      </c>
      <c r="J13" s="3">
        <v>0.14285714285714299</v>
      </c>
    </row>
    <row r="14" spans="1:10" x14ac:dyDescent="0.25">
      <c r="B14" s="1">
        <f>SUBTOTAL(109,Table1[Proje Sayısı])</f>
        <v>461</v>
      </c>
      <c r="C14" s="1">
        <f>SUBTOTAL(109,Table1[Toplam Yıl Ödeneği])</f>
        <v>2548098002.1900001</v>
      </c>
      <c r="D14" s="1">
        <f>SUBTOTAL(109,Table1[Toplam Proje Tutarı])</f>
        <v>23243495782.409996</v>
      </c>
      <c r="E14" s="1">
        <f>SUBTOTAL(109,Table1[Önceki Yıllar Toplam Harcaması])</f>
        <v>5348931949.0499992</v>
      </c>
      <c r="F14" s="1">
        <f>SUBTOTAL(109,Table1[Yılı Harcama Tutarı])</f>
        <v>982941489.5</v>
      </c>
      <c r="G14" s="1">
        <f>SUBTOTAL(109,Table1[Toplam Harcama Tutarı])</f>
        <v>6331873438.5499992</v>
      </c>
      <c r="H14" t="s">
        <v>236</v>
      </c>
      <c r="I14" t="s">
        <v>237</v>
      </c>
    </row>
  </sheetData>
  <mergeCells count="1">
    <mergeCell ref="A1:J1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5AD4-7F3B-4101-91C5-BF3EF8B11656}">
  <sheetPr>
    <pageSetUpPr fitToPage="1"/>
  </sheetPr>
  <dimension ref="A1:J13"/>
  <sheetViews>
    <sheetView topLeftCell="A7" workbookViewId="0">
      <selection activeCell="E21" sqref="E21"/>
    </sheetView>
  </sheetViews>
  <sheetFormatPr defaultRowHeight="15" x14ac:dyDescent="0.25"/>
  <cols>
    <col min="1" max="1" width="29" customWidth="1"/>
    <col min="3" max="3" width="13.7109375" customWidth="1"/>
    <col min="4" max="4" width="14.7109375" customWidth="1"/>
    <col min="5" max="5" width="13.140625" customWidth="1"/>
    <col min="6" max="6" width="14" customWidth="1"/>
    <col min="7" max="7" width="13.7109375" customWidth="1"/>
  </cols>
  <sheetData>
    <row r="1" spans="1:10" x14ac:dyDescent="0.25">
      <c r="A1" s="8" t="s">
        <v>49</v>
      </c>
      <c r="B1" s="8"/>
      <c r="C1" s="8"/>
      <c r="D1" s="8"/>
      <c r="E1" s="8"/>
      <c r="F1" s="8"/>
      <c r="G1" s="8"/>
      <c r="H1" s="8"/>
      <c r="I1" s="8"/>
      <c r="J1" s="8"/>
    </row>
    <row r="3" spans="1:10" ht="60" x14ac:dyDescent="0.25">
      <c r="A3" s="4" t="s">
        <v>48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9</v>
      </c>
      <c r="J3" s="4" t="s">
        <v>10</v>
      </c>
    </row>
    <row r="4" spans="1:10" ht="30.75" customHeight="1" x14ac:dyDescent="0.3">
      <c r="A4" s="6" t="s">
        <v>47</v>
      </c>
      <c r="B4" s="1">
        <v>135</v>
      </c>
      <c r="C4" s="1">
        <v>702320892.70000005</v>
      </c>
      <c r="D4" s="1">
        <v>14115198663.85</v>
      </c>
      <c r="E4" s="1">
        <v>3584863922.8099999</v>
      </c>
      <c r="F4" s="1">
        <v>378276347.20999998</v>
      </c>
      <c r="G4" s="1">
        <v>3963140270.02</v>
      </c>
      <c r="H4" s="2">
        <v>0.280771129362131</v>
      </c>
      <c r="I4" s="3">
        <v>0.53860899076454305</v>
      </c>
      <c r="J4" s="3">
        <v>0.18287425149700601</v>
      </c>
    </row>
    <row r="5" spans="1:10" ht="28.5" customHeight="1" x14ac:dyDescent="0.3">
      <c r="A5" s="6" t="s">
        <v>46</v>
      </c>
      <c r="B5" s="1">
        <v>101</v>
      </c>
      <c r="C5" s="1">
        <v>425711449.13</v>
      </c>
      <c r="D5" s="1">
        <v>5551919785.1300001</v>
      </c>
      <c r="E5" s="1">
        <v>1105739483</v>
      </c>
      <c r="F5" s="1">
        <v>79829017.420000002</v>
      </c>
      <c r="G5" s="1">
        <v>1185568500.4200001</v>
      </c>
      <c r="H5" s="2">
        <v>0.21354208027201199</v>
      </c>
      <c r="I5" s="3">
        <v>0.18751907561598699</v>
      </c>
      <c r="J5" s="3">
        <v>0.18806451612903199</v>
      </c>
    </row>
    <row r="6" spans="1:10" ht="30.75" customHeight="1" x14ac:dyDescent="0.3">
      <c r="A6" s="6" t="s">
        <v>44</v>
      </c>
      <c r="B6" s="1">
        <v>12</v>
      </c>
      <c r="C6" s="1">
        <v>995311444.29999995</v>
      </c>
      <c r="D6" s="1">
        <v>1665535312</v>
      </c>
      <c r="E6" s="1">
        <v>459797242.69999999</v>
      </c>
      <c r="F6" s="1">
        <v>433164402.75999999</v>
      </c>
      <c r="G6" s="1">
        <v>892961645.46000004</v>
      </c>
      <c r="H6" s="2">
        <v>0.53614092659958001</v>
      </c>
      <c r="I6" s="3">
        <v>0.43520488510472599</v>
      </c>
      <c r="J6" s="3">
        <v>0.19520000000000001</v>
      </c>
    </row>
    <row r="7" spans="1:10" ht="29.25" customHeight="1" x14ac:dyDescent="0.3">
      <c r="A7" s="6" t="s">
        <v>45</v>
      </c>
      <c r="B7" s="1">
        <v>25</v>
      </c>
      <c r="C7" s="1">
        <v>309426438.13999999</v>
      </c>
      <c r="D7" s="1">
        <v>768689704.19000006</v>
      </c>
      <c r="E7" s="1">
        <v>86720302.510000005</v>
      </c>
      <c r="F7" s="1">
        <v>57399268.200000003</v>
      </c>
      <c r="G7" s="1">
        <v>144119570.71000001</v>
      </c>
      <c r="H7" s="2">
        <v>0.187487317606087</v>
      </c>
      <c r="I7" s="3">
        <v>0.185502145663551</v>
      </c>
      <c r="J7" s="3">
        <v>0.50883720930232601</v>
      </c>
    </row>
    <row r="8" spans="1:10" ht="30.75" customHeight="1" x14ac:dyDescent="0.3">
      <c r="A8" s="6" t="s">
        <v>238</v>
      </c>
      <c r="B8" s="1">
        <v>9</v>
      </c>
      <c r="C8" s="1">
        <v>55788816.68</v>
      </c>
      <c r="D8" s="1">
        <v>642061171.03999996</v>
      </c>
      <c r="E8" s="1">
        <v>82542766.159999996</v>
      </c>
      <c r="F8" s="1">
        <v>10716940.869999999</v>
      </c>
      <c r="G8" s="1">
        <v>93259707.030000001</v>
      </c>
      <c r="H8" s="2">
        <v>0.14525050141085399</v>
      </c>
      <c r="I8" s="3">
        <v>0.19209837217862999</v>
      </c>
      <c r="J8" s="3">
        <v>0.58444444444444399</v>
      </c>
    </row>
    <row r="9" spans="1:10" ht="31.5" customHeight="1" x14ac:dyDescent="0.3">
      <c r="A9" s="6" t="s">
        <v>43</v>
      </c>
      <c r="B9" s="1">
        <v>5</v>
      </c>
      <c r="C9" s="1">
        <v>11103615.68</v>
      </c>
      <c r="D9" s="1">
        <v>363387500</v>
      </c>
      <c r="E9" s="1">
        <v>3490550</v>
      </c>
      <c r="F9" s="1">
        <v>6103615.6799999997</v>
      </c>
      <c r="G9" s="1">
        <v>9594165.6799999997</v>
      </c>
      <c r="H9" s="2">
        <v>2.6402024505521E-2</v>
      </c>
      <c r="I9" s="3">
        <v>0.54969623012024105</v>
      </c>
      <c r="J9" s="3">
        <v>0.28399999999999997</v>
      </c>
    </row>
    <row r="10" spans="1:10" ht="28.5" customHeight="1" x14ac:dyDescent="0.3">
      <c r="A10" s="6" t="s">
        <v>239</v>
      </c>
      <c r="B10" s="1">
        <v>168</v>
      </c>
      <c r="C10" s="1">
        <v>46852505.560000002</v>
      </c>
      <c r="D10" s="1">
        <v>72724806.200000003</v>
      </c>
      <c r="E10" s="1">
        <v>25750681.870000001</v>
      </c>
      <c r="F10" s="1">
        <v>17001137.359999999</v>
      </c>
      <c r="G10" s="1">
        <v>42751819.229999997</v>
      </c>
      <c r="H10" s="2">
        <v>0.58785745145100199</v>
      </c>
      <c r="I10" s="3">
        <v>0.362865062536049</v>
      </c>
      <c r="J10" s="3">
        <v>0.20331606217616599</v>
      </c>
    </row>
    <row r="11" spans="1:10" ht="32.25" customHeight="1" x14ac:dyDescent="0.3">
      <c r="A11" s="6" t="s">
        <v>42</v>
      </c>
      <c r="B11" s="1">
        <v>2</v>
      </c>
      <c r="C11" s="1">
        <v>4000</v>
      </c>
      <c r="D11" s="1">
        <v>62400000</v>
      </c>
      <c r="E11" s="1">
        <v>27000</v>
      </c>
      <c r="F11" s="1">
        <v>0</v>
      </c>
      <c r="G11" s="1">
        <v>27000</v>
      </c>
      <c r="H11" s="2">
        <v>4.3269230769230798E-4</v>
      </c>
      <c r="I11" s="3">
        <v>0</v>
      </c>
      <c r="J11" s="3">
        <v>0</v>
      </c>
    </row>
    <row r="12" spans="1:10" ht="31.5" customHeight="1" x14ac:dyDescent="0.3">
      <c r="A12" s="6" t="s">
        <v>41</v>
      </c>
      <c r="B12" s="1">
        <v>4</v>
      </c>
      <c r="C12" s="1">
        <v>1578840</v>
      </c>
      <c r="D12" s="1">
        <v>1578840</v>
      </c>
      <c r="E12" s="1">
        <v>0</v>
      </c>
      <c r="F12" s="1">
        <v>450760</v>
      </c>
      <c r="G12" s="1">
        <v>450760</v>
      </c>
      <c r="H12" s="2">
        <v>0.28550074738415498</v>
      </c>
      <c r="I12" s="3">
        <v>0.28550074738415498</v>
      </c>
      <c r="J12" s="3">
        <v>0.82</v>
      </c>
    </row>
    <row r="13" spans="1:10" x14ac:dyDescent="0.25">
      <c r="A13" t="s">
        <v>183</v>
      </c>
      <c r="B13" s="1">
        <f>SUBTOTAL(109,Table15[Proje Sayısı])</f>
        <v>461</v>
      </c>
      <c r="C13" s="1">
        <f>SUBTOTAL(109,Table15[Toplam Yıl Ödeneği])</f>
        <v>2548098002.1899996</v>
      </c>
      <c r="D13" s="1">
        <f>SUBTOTAL(109,Table15[Toplam Proje Tutarı])</f>
        <v>23243495782.41</v>
      </c>
      <c r="E13" s="1">
        <f>SUBTOTAL(109,Table15[Önceki Yıllar Toplam Harcaması])</f>
        <v>5348931949.0499992</v>
      </c>
      <c r="F13" s="1">
        <f>SUBTOTAL(109,Table15[Yılı Harcama Tutarı])</f>
        <v>982941489.5</v>
      </c>
      <c r="G13" s="1">
        <f>SUBTOTAL(109,Table15[Toplam Harcama Tutarı])</f>
        <v>6331873438.5500002</v>
      </c>
      <c r="H13" t="s">
        <v>236</v>
      </c>
      <c r="I13" t="s">
        <v>237</v>
      </c>
    </row>
  </sheetData>
  <mergeCells count="1">
    <mergeCell ref="A1:J1"/>
  </mergeCells>
  <pageMargins left="0.7" right="0.7" top="0.75" bottom="0.75" header="0.3" footer="0.3"/>
  <pageSetup paperSize="9" scale="97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E949-CC79-4F2A-8E76-01B30E71BE0B}">
  <dimension ref="A1:K4"/>
  <sheetViews>
    <sheetView topLeftCell="B1" workbookViewId="0">
      <selection activeCell="C10" sqref="C10"/>
    </sheetView>
  </sheetViews>
  <sheetFormatPr defaultRowHeight="15" x14ac:dyDescent="0.25"/>
  <cols>
    <col min="1" max="1" width="30.85546875" customWidth="1"/>
    <col min="3" max="3" width="11.28515625" customWidth="1"/>
    <col min="4" max="4" width="10.85546875" customWidth="1"/>
    <col min="5" max="5" width="11.42578125" customWidth="1"/>
    <col min="6" max="6" width="11.28515625" customWidth="1"/>
    <col min="7" max="7" width="10.5703125" customWidth="1"/>
  </cols>
  <sheetData>
    <row r="1" spans="1:11" x14ac:dyDescent="0.25">
      <c r="A1" s="9" t="s">
        <v>240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75" x14ac:dyDescent="0.25">
      <c r="A3" t="s">
        <v>241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30" x14ac:dyDescent="0.25">
      <c r="A4" s="4" t="s">
        <v>242</v>
      </c>
      <c r="B4" s="1">
        <v>1</v>
      </c>
      <c r="C4" s="1">
        <v>10431572.16</v>
      </c>
      <c r="D4" s="1">
        <v>25437352.41</v>
      </c>
      <c r="E4" s="1">
        <v>15005777.25</v>
      </c>
      <c r="F4" s="1">
        <v>10431572.16</v>
      </c>
      <c r="G4" s="1">
        <v>25437349.41</v>
      </c>
      <c r="H4" s="2">
        <v>0.99999988206319801</v>
      </c>
      <c r="I4" s="3">
        <v>0</v>
      </c>
      <c r="J4" s="3">
        <v>1</v>
      </c>
      <c r="K4" s="3">
        <v>1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2088C-1804-4137-B300-27D7C6D99C2C}">
  <dimension ref="A1:L11"/>
  <sheetViews>
    <sheetView topLeftCell="A4" workbookViewId="0">
      <selection activeCell="E14" sqref="E14"/>
    </sheetView>
  </sheetViews>
  <sheetFormatPr defaultRowHeight="15" x14ac:dyDescent="0.25"/>
  <cols>
    <col min="1" max="1" width="37.42578125" customWidth="1"/>
    <col min="2" max="2" width="11.140625" customWidth="1"/>
    <col min="3" max="3" width="11.28515625" customWidth="1"/>
    <col min="4" max="4" width="11.140625" customWidth="1"/>
    <col min="6" max="6" width="11.28515625" customWidth="1"/>
  </cols>
  <sheetData>
    <row r="1" spans="1:12" x14ac:dyDescent="0.25">
      <c r="A1" s="8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x14ac:dyDescent="0.25">
      <c r="A4" s="4" t="s">
        <v>56</v>
      </c>
      <c r="B4" s="1">
        <v>0</v>
      </c>
      <c r="C4" s="1">
        <v>500000</v>
      </c>
      <c r="D4" s="1">
        <v>0</v>
      </c>
      <c r="E4" s="1">
        <v>0</v>
      </c>
      <c r="F4" s="1">
        <v>0</v>
      </c>
      <c r="G4" s="2">
        <v>0</v>
      </c>
      <c r="H4" s="3">
        <v>0</v>
      </c>
      <c r="I4" s="3">
        <v>0</v>
      </c>
      <c r="J4" s="3">
        <v>0</v>
      </c>
      <c r="K4" t="s">
        <v>33</v>
      </c>
    </row>
    <row r="5" spans="1:12" x14ac:dyDescent="0.25">
      <c r="A5" s="4" t="s">
        <v>55</v>
      </c>
      <c r="B5" s="1">
        <v>200000</v>
      </c>
      <c r="C5" s="1">
        <v>200000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33</v>
      </c>
    </row>
    <row r="6" spans="1:12" ht="45" x14ac:dyDescent="0.25">
      <c r="A6" s="4" t="s">
        <v>244</v>
      </c>
      <c r="B6" s="1">
        <v>59299000</v>
      </c>
      <c r="C6" s="1">
        <v>100967930</v>
      </c>
      <c r="D6" s="1">
        <v>22349939.920000002</v>
      </c>
      <c r="E6" s="1">
        <v>0</v>
      </c>
      <c r="F6" s="1">
        <v>22349939.920000002</v>
      </c>
      <c r="G6" s="2">
        <v>0.22135682013090699</v>
      </c>
      <c r="H6" s="3">
        <v>0</v>
      </c>
      <c r="I6" s="3">
        <v>0</v>
      </c>
      <c r="J6" s="3">
        <v>0.25</v>
      </c>
      <c r="K6" t="s">
        <v>33</v>
      </c>
    </row>
    <row r="7" spans="1:12" ht="30" x14ac:dyDescent="0.25">
      <c r="A7" s="4" t="s">
        <v>54</v>
      </c>
      <c r="B7" s="1">
        <v>1000</v>
      </c>
      <c r="C7" s="1">
        <v>21240000</v>
      </c>
      <c r="D7" s="1">
        <v>0</v>
      </c>
      <c r="E7" s="1">
        <v>0</v>
      </c>
      <c r="F7" s="1">
        <v>0</v>
      </c>
      <c r="G7" s="2">
        <v>0</v>
      </c>
      <c r="H7" s="3">
        <v>0</v>
      </c>
      <c r="I7" s="3">
        <v>0</v>
      </c>
      <c r="J7" s="3">
        <v>0.1</v>
      </c>
      <c r="K7" t="s">
        <v>33</v>
      </c>
    </row>
    <row r="8" spans="1:12" ht="45" x14ac:dyDescent="0.25">
      <c r="A8" s="4" t="s">
        <v>53</v>
      </c>
      <c r="B8" s="1">
        <v>2000000</v>
      </c>
      <c r="C8" s="1">
        <v>15000000</v>
      </c>
      <c r="D8" s="1">
        <v>5318447.92</v>
      </c>
      <c r="E8" s="1">
        <v>0</v>
      </c>
      <c r="F8" s="1">
        <v>5318447.92</v>
      </c>
      <c r="G8" s="2">
        <v>0.35456319466666703</v>
      </c>
      <c r="H8" s="3">
        <v>0</v>
      </c>
      <c r="I8" s="3">
        <v>0</v>
      </c>
      <c r="J8" s="3">
        <v>0.64</v>
      </c>
      <c r="K8" t="s">
        <v>33</v>
      </c>
    </row>
    <row r="9" spans="1:12" x14ac:dyDescent="0.25">
      <c r="A9" s="4" t="s">
        <v>52</v>
      </c>
      <c r="B9" s="1">
        <v>12000000</v>
      </c>
      <c r="C9" s="1">
        <v>12000000</v>
      </c>
      <c r="D9" s="1">
        <v>0</v>
      </c>
      <c r="E9" s="1">
        <v>1421374.64</v>
      </c>
      <c r="F9" s="1">
        <v>1421374.64</v>
      </c>
      <c r="G9" s="2">
        <v>0.118447886666667</v>
      </c>
      <c r="H9" s="3">
        <v>8.9697886666666699E-2</v>
      </c>
      <c r="I9" s="3">
        <v>0.118447886666667</v>
      </c>
      <c r="J9" s="3">
        <v>0.12</v>
      </c>
      <c r="K9" t="s">
        <v>33</v>
      </c>
    </row>
    <row r="10" spans="1:12" x14ac:dyDescent="0.25">
      <c r="A10" s="4" t="s">
        <v>51</v>
      </c>
      <c r="B10" s="1">
        <v>1500000</v>
      </c>
      <c r="C10" s="1">
        <v>1500000</v>
      </c>
      <c r="D10" s="1">
        <v>0</v>
      </c>
      <c r="E10" s="1">
        <v>0</v>
      </c>
      <c r="F10" s="1">
        <v>0</v>
      </c>
      <c r="G10" s="2">
        <v>0</v>
      </c>
      <c r="H10" s="3">
        <v>0</v>
      </c>
      <c r="I10" s="3">
        <v>0</v>
      </c>
      <c r="J10" s="3">
        <v>0</v>
      </c>
      <c r="K10" t="s">
        <v>33</v>
      </c>
    </row>
    <row r="11" spans="1:12" x14ac:dyDescent="0.25">
      <c r="B11" s="1">
        <f>SUBTOTAL(109,Table123[Toplam Yıl Ödeneği])</f>
        <v>75000000</v>
      </c>
      <c r="C11" s="1">
        <f>SUBTOTAL(109,Table123[Toplam Proje Tutarı])</f>
        <v>151407930</v>
      </c>
      <c r="D11" s="1">
        <f>SUBTOTAL(109,Table123[Önceki Yıllar Toplam Harcaması])</f>
        <v>27668387.840000004</v>
      </c>
      <c r="E11" s="1">
        <f>SUBTOTAL(109,Table123[Yılı Harcama Tutarı])</f>
        <v>1421374.64</v>
      </c>
      <c r="F11" s="1">
        <f>SUBTOTAL(109,Table123[Toplam Harcama Tutarı])</f>
        <v>29089762.480000004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47EF-EE18-48F5-A74B-7A2B4409D27A}">
  <dimension ref="A1:L154"/>
  <sheetViews>
    <sheetView topLeftCell="A151" workbookViewId="0">
      <selection activeCell="N6" sqref="N6"/>
    </sheetView>
  </sheetViews>
  <sheetFormatPr defaultRowHeight="15" x14ac:dyDescent="0.25"/>
  <cols>
    <col min="1" max="1" width="51.42578125" customWidth="1"/>
    <col min="2" max="2" width="12.5703125" customWidth="1"/>
    <col min="3" max="3" width="13.28515625" customWidth="1"/>
    <col min="5" max="5" width="11" customWidth="1"/>
    <col min="6" max="6" width="10.85546875" customWidth="1"/>
  </cols>
  <sheetData>
    <row r="1" spans="1:12" x14ac:dyDescent="0.25">
      <c r="A1" s="9" t="s">
        <v>184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75" x14ac:dyDescent="0.25">
      <c r="A2" s="4" t="s">
        <v>50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57</v>
      </c>
    </row>
    <row r="3" spans="1:12" ht="30" x14ac:dyDescent="0.25">
      <c r="A3" s="4" t="s">
        <v>245</v>
      </c>
      <c r="B3" s="1">
        <v>5400000</v>
      </c>
      <c r="C3" s="1">
        <v>5400000</v>
      </c>
      <c r="D3" s="1">
        <v>0</v>
      </c>
      <c r="E3" s="1">
        <v>0</v>
      </c>
      <c r="F3" s="1">
        <v>0</v>
      </c>
      <c r="G3" s="2">
        <v>0</v>
      </c>
      <c r="H3" s="3">
        <v>0</v>
      </c>
      <c r="I3" s="3">
        <v>0</v>
      </c>
      <c r="J3" s="3">
        <v>0</v>
      </c>
      <c r="K3" t="s">
        <v>33</v>
      </c>
    </row>
    <row r="4" spans="1:12" ht="45" x14ac:dyDescent="0.25">
      <c r="A4" s="4" t="s">
        <v>246</v>
      </c>
      <c r="B4" s="1">
        <v>1090000</v>
      </c>
      <c r="C4" s="1">
        <v>1090000</v>
      </c>
      <c r="D4" s="1">
        <v>0</v>
      </c>
      <c r="E4" s="1">
        <v>1090000</v>
      </c>
      <c r="F4" s="1">
        <v>1090000</v>
      </c>
      <c r="G4" s="2">
        <v>1</v>
      </c>
      <c r="H4" s="3">
        <v>0</v>
      </c>
      <c r="I4" s="3">
        <v>1</v>
      </c>
      <c r="J4" s="3">
        <v>1</v>
      </c>
      <c r="K4" t="s">
        <v>35</v>
      </c>
    </row>
    <row r="5" spans="1:12" ht="30" x14ac:dyDescent="0.25">
      <c r="A5" s="4" t="s">
        <v>247</v>
      </c>
      <c r="B5" s="1">
        <v>1500000</v>
      </c>
      <c r="C5" s="1">
        <v>1500000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36</v>
      </c>
    </row>
    <row r="6" spans="1:12" ht="30" x14ac:dyDescent="0.25">
      <c r="A6" s="4" t="s">
        <v>248</v>
      </c>
      <c r="B6" s="1">
        <v>100000</v>
      </c>
      <c r="C6" s="1">
        <v>100000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</v>
      </c>
      <c r="K6" t="s">
        <v>40</v>
      </c>
    </row>
    <row r="7" spans="1:12" ht="30" x14ac:dyDescent="0.25">
      <c r="A7" s="4" t="s">
        <v>249</v>
      </c>
      <c r="B7" s="1">
        <v>250000</v>
      </c>
      <c r="C7" s="1">
        <v>250000</v>
      </c>
      <c r="D7" s="1">
        <v>0</v>
      </c>
      <c r="E7" s="1">
        <v>250000</v>
      </c>
      <c r="F7" s="1">
        <v>250000</v>
      </c>
      <c r="G7" s="2">
        <v>1</v>
      </c>
      <c r="H7" s="3">
        <v>1</v>
      </c>
      <c r="I7" s="3">
        <v>1</v>
      </c>
      <c r="J7" s="3">
        <v>1</v>
      </c>
      <c r="K7" t="s">
        <v>33</v>
      </c>
    </row>
    <row r="8" spans="1:12" ht="30" x14ac:dyDescent="0.25">
      <c r="A8" s="4" t="s">
        <v>250</v>
      </c>
      <c r="B8" s="1">
        <v>540000</v>
      </c>
      <c r="C8" s="1">
        <v>540000</v>
      </c>
      <c r="D8" s="1">
        <v>0</v>
      </c>
      <c r="E8" s="1">
        <v>0</v>
      </c>
      <c r="F8" s="1">
        <v>0</v>
      </c>
      <c r="G8" s="2">
        <v>0</v>
      </c>
      <c r="H8" s="3">
        <v>0</v>
      </c>
      <c r="I8" s="3">
        <v>0</v>
      </c>
      <c r="J8" s="3">
        <v>0</v>
      </c>
      <c r="K8" t="s">
        <v>33</v>
      </c>
    </row>
    <row r="9" spans="1:12" ht="30" x14ac:dyDescent="0.25">
      <c r="A9" s="4" t="s">
        <v>251</v>
      </c>
      <c r="B9" s="1">
        <v>1837692</v>
      </c>
      <c r="C9" s="1">
        <v>1837692</v>
      </c>
      <c r="D9" s="1">
        <v>0</v>
      </c>
      <c r="E9" s="1">
        <v>0</v>
      </c>
      <c r="F9" s="1">
        <v>0</v>
      </c>
      <c r="G9" s="2">
        <v>0</v>
      </c>
      <c r="H9" s="3">
        <v>0</v>
      </c>
      <c r="I9" s="3">
        <v>0</v>
      </c>
      <c r="J9" s="3">
        <v>0</v>
      </c>
      <c r="K9" t="s">
        <v>33</v>
      </c>
    </row>
    <row r="10" spans="1:12" ht="30" x14ac:dyDescent="0.25">
      <c r="A10" s="4" t="s">
        <v>252</v>
      </c>
      <c r="B10" s="1">
        <v>2753985</v>
      </c>
      <c r="C10" s="1">
        <v>2753985</v>
      </c>
      <c r="D10" s="1">
        <v>0</v>
      </c>
      <c r="E10" s="1">
        <v>0</v>
      </c>
      <c r="F10" s="1">
        <v>0</v>
      </c>
      <c r="G10" s="2">
        <v>0</v>
      </c>
      <c r="H10" s="3">
        <v>0</v>
      </c>
      <c r="I10" s="3">
        <v>0</v>
      </c>
      <c r="J10" s="3">
        <v>0</v>
      </c>
      <c r="K10" t="s">
        <v>32</v>
      </c>
    </row>
    <row r="11" spans="1:12" ht="30" x14ac:dyDescent="0.25">
      <c r="A11" s="4" t="s">
        <v>253</v>
      </c>
      <c r="B11" s="1">
        <v>1950000</v>
      </c>
      <c r="C11" s="1">
        <v>1950000</v>
      </c>
      <c r="D11" s="1">
        <v>0</v>
      </c>
      <c r="E11" s="1">
        <v>1950000</v>
      </c>
      <c r="F11" s="1">
        <v>1950000</v>
      </c>
      <c r="G11" s="2">
        <v>1</v>
      </c>
      <c r="H11" s="3">
        <v>0</v>
      </c>
      <c r="I11" s="3">
        <v>1</v>
      </c>
      <c r="J11" s="3">
        <v>1</v>
      </c>
      <c r="K11" t="s">
        <v>38</v>
      </c>
    </row>
    <row r="12" spans="1:12" ht="30" x14ac:dyDescent="0.25">
      <c r="A12" s="4" t="s">
        <v>63</v>
      </c>
      <c r="B12" s="1">
        <v>325000</v>
      </c>
      <c r="C12" s="1">
        <v>325000</v>
      </c>
      <c r="D12" s="1">
        <v>0</v>
      </c>
      <c r="E12" s="1">
        <v>175000</v>
      </c>
      <c r="F12" s="1">
        <v>175000</v>
      </c>
      <c r="G12" s="2">
        <v>0.53846153846153799</v>
      </c>
      <c r="H12" s="3">
        <v>0.46153846153846201</v>
      </c>
      <c r="I12" s="3">
        <v>0.53846153846153799</v>
      </c>
      <c r="J12" s="3">
        <v>0.7</v>
      </c>
      <c r="K12" t="s">
        <v>36</v>
      </c>
    </row>
    <row r="13" spans="1:12" ht="30" x14ac:dyDescent="0.25">
      <c r="A13" s="4" t="s">
        <v>254</v>
      </c>
      <c r="B13" s="1">
        <v>300000</v>
      </c>
      <c r="C13" s="1">
        <v>300000</v>
      </c>
      <c r="D13" s="1">
        <v>0</v>
      </c>
      <c r="E13" s="1">
        <v>300000</v>
      </c>
      <c r="F13" s="1">
        <v>300000</v>
      </c>
      <c r="G13" s="2">
        <v>1</v>
      </c>
      <c r="H13" s="3">
        <v>0</v>
      </c>
      <c r="I13" s="3">
        <v>1</v>
      </c>
      <c r="J13" s="3">
        <v>1</v>
      </c>
      <c r="K13" t="s">
        <v>37</v>
      </c>
    </row>
    <row r="14" spans="1:12" ht="30" x14ac:dyDescent="0.25">
      <c r="A14" s="4" t="s">
        <v>255</v>
      </c>
      <c r="B14" s="1">
        <v>640000</v>
      </c>
      <c r="C14" s="1">
        <v>640000</v>
      </c>
      <c r="D14" s="1">
        <v>0</v>
      </c>
      <c r="E14" s="1">
        <v>0</v>
      </c>
      <c r="F14" s="1">
        <v>0</v>
      </c>
      <c r="G14" s="2">
        <v>0</v>
      </c>
      <c r="H14" s="3">
        <v>0</v>
      </c>
      <c r="I14" s="3">
        <v>0</v>
      </c>
      <c r="J14" s="3">
        <v>0</v>
      </c>
      <c r="K14" t="s">
        <v>39</v>
      </c>
    </row>
    <row r="15" spans="1:12" ht="45" x14ac:dyDescent="0.25">
      <c r="A15" s="4" t="s">
        <v>256</v>
      </c>
      <c r="B15" s="1">
        <v>165000</v>
      </c>
      <c r="C15" s="1">
        <v>165000</v>
      </c>
      <c r="D15" s="1">
        <v>0</v>
      </c>
      <c r="E15" s="1">
        <v>0</v>
      </c>
      <c r="F15" s="1">
        <v>0</v>
      </c>
      <c r="G15" s="2">
        <v>0</v>
      </c>
      <c r="H15" s="3">
        <v>0</v>
      </c>
      <c r="I15" s="3">
        <v>0</v>
      </c>
      <c r="J15" s="3">
        <v>0</v>
      </c>
      <c r="K15" t="s">
        <v>40</v>
      </c>
    </row>
    <row r="16" spans="1:12" ht="45" x14ac:dyDescent="0.25">
      <c r="A16" s="4" t="s">
        <v>257</v>
      </c>
      <c r="B16" s="1">
        <v>950000</v>
      </c>
      <c r="C16" s="1">
        <v>950000</v>
      </c>
      <c r="D16" s="1">
        <v>0</v>
      </c>
      <c r="E16" s="1">
        <v>0</v>
      </c>
      <c r="F16" s="1">
        <v>0</v>
      </c>
      <c r="G16" s="2">
        <v>0</v>
      </c>
      <c r="H16" s="3">
        <v>0</v>
      </c>
      <c r="I16" s="3">
        <v>0</v>
      </c>
      <c r="J16" s="3">
        <v>0</v>
      </c>
      <c r="K16" t="s">
        <v>36</v>
      </c>
    </row>
    <row r="17" spans="1:11" ht="45" x14ac:dyDescent="0.25">
      <c r="A17" s="4" t="s">
        <v>62</v>
      </c>
      <c r="B17" s="1">
        <v>675000</v>
      </c>
      <c r="C17" s="1">
        <v>675000</v>
      </c>
      <c r="D17" s="1">
        <v>0</v>
      </c>
      <c r="E17" s="1">
        <v>0</v>
      </c>
      <c r="F17" s="1">
        <v>0</v>
      </c>
      <c r="G17" s="2">
        <v>0</v>
      </c>
      <c r="H17" s="3">
        <v>0</v>
      </c>
      <c r="I17" s="3">
        <v>0</v>
      </c>
      <c r="J17" s="3">
        <v>0.25</v>
      </c>
      <c r="K17" t="s">
        <v>32</v>
      </c>
    </row>
    <row r="18" spans="1:11" ht="45" x14ac:dyDescent="0.25">
      <c r="A18" s="4" t="s">
        <v>258</v>
      </c>
      <c r="B18" s="1">
        <v>1300000</v>
      </c>
      <c r="C18" s="1">
        <v>1300000</v>
      </c>
      <c r="D18" s="1">
        <v>0</v>
      </c>
      <c r="E18" s="1">
        <v>0</v>
      </c>
      <c r="F18" s="1">
        <v>0</v>
      </c>
      <c r="G18" s="2">
        <v>0</v>
      </c>
      <c r="H18" s="3">
        <v>0</v>
      </c>
      <c r="I18" s="3">
        <v>0</v>
      </c>
      <c r="J18" s="3">
        <v>0</v>
      </c>
      <c r="K18" t="s">
        <v>33</v>
      </c>
    </row>
    <row r="19" spans="1:11" ht="45" x14ac:dyDescent="0.25">
      <c r="A19" s="4" t="s">
        <v>259</v>
      </c>
      <c r="B19" s="1">
        <v>950000</v>
      </c>
      <c r="C19" s="1">
        <v>950000</v>
      </c>
      <c r="D19" s="1">
        <v>0</v>
      </c>
      <c r="E19" s="1">
        <v>950000</v>
      </c>
      <c r="F19" s="1">
        <v>950000</v>
      </c>
      <c r="G19" s="2">
        <v>1</v>
      </c>
      <c r="H19" s="3">
        <v>0</v>
      </c>
      <c r="I19" s="3">
        <v>1</v>
      </c>
      <c r="J19" s="3">
        <v>1</v>
      </c>
      <c r="K19" t="s">
        <v>36</v>
      </c>
    </row>
    <row r="20" spans="1:11" ht="30" x14ac:dyDescent="0.25">
      <c r="A20" s="4" t="s">
        <v>260</v>
      </c>
      <c r="B20" s="1">
        <v>1440000</v>
      </c>
      <c r="C20" s="1">
        <v>1440000</v>
      </c>
      <c r="D20" s="1">
        <v>0</v>
      </c>
      <c r="E20" s="1">
        <v>0</v>
      </c>
      <c r="F20" s="1">
        <v>0</v>
      </c>
      <c r="G20" s="2">
        <v>0</v>
      </c>
      <c r="H20" s="3">
        <v>0</v>
      </c>
      <c r="I20" s="3">
        <v>0</v>
      </c>
      <c r="J20" s="3">
        <v>0</v>
      </c>
      <c r="K20" t="s">
        <v>33</v>
      </c>
    </row>
    <row r="21" spans="1:11" ht="30" x14ac:dyDescent="0.25">
      <c r="A21" s="4" t="s">
        <v>261</v>
      </c>
      <c r="B21" s="1">
        <v>585547</v>
      </c>
      <c r="C21" s="1">
        <v>585547</v>
      </c>
      <c r="D21" s="1">
        <v>0</v>
      </c>
      <c r="E21" s="1">
        <v>0</v>
      </c>
      <c r="F21" s="1">
        <v>0</v>
      </c>
      <c r="G21" s="2">
        <v>0</v>
      </c>
      <c r="H21" s="3">
        <v>0</v>
      </c>
      <c r="I21" s="3">
        <v>0</v>
      </c>
      <c r="J21" s="3">
        <v>0</v>
      </c>
      <c r="K21" t="s">
        <v>33</v>
      </c>
    </row>
    <row r="22" spans="1:11" ht="30" x14ac:dyDescent="0.25">
      <c r="A22" s="4" t="s">
        <v>262</v>
      </c>
      <c r="B22" s="1">
        <v>641016.4</v>
      </c>
      <c r="C22" s="1">
        <v>641016.4</v>
      </c>
      <c r="D22" s="1">
        <v>0</v>
      </c>
      <c r="E22" s="1">
        <v>0</v>
      </c>
      <c r="F22" s="1">
        <v>0</v>
      </c>
      <c r="G22" s="2">
        <v>0</v>
      </c>
      <c r="H22" s="3">
        <v>0</v>
      </c>
      <c r="I22" s="3">
        <v>0</v>
      </c>
      <c r="J22" s="3">
        <v>0</v>
      </c>
      <c r="K22" t="s">
        <v>33</v>
      </c>
    </row>
    <row r="23" spans="1:11" ht="30" x14ac:dyDescent="0.25">
      <c r="A23" s="4" t="s">
        <v>263</v>
      </c>
      <c r="B23" s="1">
        <v>830000</v>
      </c>
      <c r="C23" s="1">
        <v>830000</v>
      </c>
      <c r="D23" s="1">
        <v>0</v>
      </c>
      <c r="E23" s="1">
        <v>0</v>
      </c>
      <c r="F23" s="1">
        <v>0</v>
      </c>
      <c r="G23" s="2">
        <v>0</v>
      </c>
      <c r="H23" s="3">
        <v>0</v>
      </c>
      <c r="I23" s="3">
        <v>0</v>
      </c>
      <c r="J23" s="3">
        <v>0</v>
      </c>
      <c r="K23" t="s">
        <v>33</v>
      </c>
    </row>
    <row r="24" spans="1:11" ht="45" x14ac:dyDescent="0.25">
      <c r="A24" s="4" t="s">
        <v>61</v>
      </c>
      <c r="B24" s="1">
        <v>1764100</v>
      </c>
      <c r="C24" s="1">
        <v>1764100</v>
      </c>
      <c r="D24" s="1">
        <v>0</v>
      </c>
      <c r="E24" s="1">
        <v>0</v>
      </c>
      <c r="F24" s="1">
        <v>0</v>
      </c>
      <c r="G24" s="2">
        <v>0</v>
      </c>
      <c r="H24" s="3">
        <v>0</v>
      </c>
      <c r="I24" s="3">
        <v>0</v>
      </c>
      <c r="J24" s="3">
        <v>0.25</v>
      </c>
      <c r="K24" t="s">
        <v>37</v>
      </c>
    </row>
    <row r="25" spans="1:11" ht="45" x14ac:dyDescent="0.25">
      <c r="A25" s="4" t="s">
        <v>264</v>
      </c>
      <c r="B25" s="1">
        <v>810000</v>
      </c>
      <c r="C25" s="1">
        <v>810000</v>
      </c>
      <c r="D25" s="1">
        <v>0</v>
      </c>
      <c r="E25" s="1">
        <v>0</v>
      </c>
      <c r="F25" s="1">
        <v>0</v>
      </c>
      <c r="G25" s="2">
        <v>0</v>
      </c>
      <c r="H25" s="3">
        <v>0</v>
      </c>
      <c r="I25" s="3">
        <v>0</v>
      </c>
      <c r="J25" s="3">
        <v>0</v>
      </c>
      <c r="K25" t="s">
        <v>34</v>
      </c>
    </row>
    <row r="26" spans="1:11" ht="30" x14ac:dyDescent="0.25">
      <c r="A26" s="4" t="s">
        <v>265</v>
      </c>
      <c r="B26" s="1">
        <v>180000</v>
      </c>
      <c r="C26" s="1">
        <v>180000</v>
      </c>
      <c r="D26" s="1">
        <v>0</v>
      </c>
      <c r="E26" s="1">
        <v>180000</v>
      </c>
      <c r="F26" s="1">
        <v>180000</v>
      </c>
      <c r="G26" s="2">
        <v>1</v>
      </c>
      <c r="H26" s="3">
        <v>0</v>
      </c>
      <c r="I26" s="3">
        <v>1</v>
      </c>
      <c r="J26" s="3">
        <v>1</v>
      </c>
      <c r="K26" t="s">
        <v>32</v>
      </c>
    </row>
    <row r="27" spans="1:11" ht="45" x14ac:dyDescent="0.25">
      <c r="A27" s="4" t="s">
        <v>266</v>
      </c>
      <c r="B27" s="1">
        <v>450000</v>
      </c>
      <c r="C27" s="1">
        <v>450000</v>
      </c>
      <c r="D27" s="1">
        <v>0</v>
      </c>
      <c r="E27" s="1">
        <v>450000</v>
      </c>
      <c r="F27" s="1">
        <v>450000</v>
      </c>
      <c r="G27" s="2">
        <v>1</v>
      </c>
      <c r="H27" s="3">
        <v>0</v>
      </c>
      <c r="I27" s="3">
        <v>1</v>
      </c>
      <c r="J27" s="3">
        <v>1</v>
      </c>
      <c r="K27" t="s">
        <v>40</v>
      </c>
    </row>
    <row r="28" spans="1:11" ht="30" x14ac:dyDescent="0.25">
      <c r="A28" s="4" t="s">
        <v>267</v>
      </c>
      <c r="B28" s="1">
        <v>1750000</v>
      </c>
      <c r="C28" s="1">
        <v>1750000</v>
      </c>
      <c r="D28" s="1">
        <v>0</v>
      </c>
      <c r="E28" s="1">
        <v>0</v>
      </c>
      <c r="F28" s="1">
        <v>0</v>
      </c>
      <c r="G28" s="2">
        <v>0</v>
      </c>
      <c r="H28" s="3">
        <v>0</v>
      </c>
      <c r="I28" s="3">
        <v>0</v>
      </c>
      <c r="J28" s="3">
        <v>0</v>
      </c>
      <c r="K28" t="s">
        <v>38</v>
      </c>
    </row>
    <row r="29" spans="1:11" ht="30" x14ac:dyDescent="0.25">
      <c r="A29" s="4" t="s">
        <v>268</v>
      </c>
      <c r="B29" s="1">
        <v>3450000</v>
      </c>
      <c r="C29" s="1">
        <v>3450000</v>
      </c>
      <c r="D29" s="1">
        <v>0</v>
      </c>
      <c r="E29" s="1">
        <v>0</v>
      </c>
      <c r="F29" s="1">
        <v>0</v>
      </c>
      <c r="G29" s="2">
        <v>0</v>
      </c>
      <c r="H29" s="3">
        <v>0</v>
      </c>
      <c r="I29" s="3">
        <v>0</v>
      </c>
      <c r="J29" s="3">
        <v>0</v>
      </c>
      <c r="K29" t="s">
        <v>34</v>
      </c>
    </row>
    <row r="30" spans="1:11" ht="30" x14ac:dyDescent="0.25">
      <c r="A30" s="4" t="s">
        <v>269</v>
      </c>
      <c r="B30" s="1">
        <v>3582533</v>
      </c>
      <c r="C30" s="1">
        <v>3582533</v>
      </c>
      <c r="D30" s="1">
        <v>0</v>
      </c>
      <c r="E30" s="1">
        <v>1564549</v>
      </c>
      <c r="F30" s="1">
        <v>1564549</v>
      </c>
      <c r="G30" s="2">
        <v>0.43671586556216002</v>
      </c>
      <c r="H30" s="3">
        <v>0</v>
      </c>
      <c r="I30" s="3">
        <v>0.43671586556216002</v>
      </c>
      <c r="J30" s="3">
        <v>0.44</v>
      </c>
      <c r="K30" t="s">
        <v>33</v>
      </c>
    </row>
    <row r="31" spans="1:11" ht="30" x14ac:dyDescent="0.25">
      <c r="A31" s="4" t="s">
        <v>270</v>
      </c>
      <c r="B31" s="1">
        <v>1365454</v>
      </c>
      <c r="C31" s="1">
        <v>1365454</v>
      </c>
      <c r="D31" s="1">
        <v>0</v>
      </c>
      <c r="E31" s="1">
        <v>0</v>
      </c>
      <c r="F31" s="1">
        <v>0</v>
      </c>
      <c r="G31" s="2">
        <v>0</v>
      </c>
      <c r="H31" s="3">
        <v>0</v>
      </c>
      <c r="I31" s="3">
        <v>0</v>
      </c>
      <c r="J31" s="3">
        <v>0</v>
      </c>
      <c r="K31" t="s">
        <v>35</v>
      </c>
    </row>
    <row r="32" spans="1:11" ht="30" x14ac:dyDescent="0.25">
      <c r="A32" s="4" t="s">
        <v>271</v>
      </c>
      <c r="B32" s="1">
        <v>1503317</v>
      </c>
      <c r="C32" s="1">
        <v>1503317</v>
      </c>
      <c r="D32" s="1">
        <v>0</v>
      </c>
      <c r="E32" s="1">
        <v>0</v>
      </c>
      <c r="F32" s="1">
        <v>0</v>
      </c>
      <c r="G32" s="2">
        <v>0</v>
      </c>
      <c r="H32" s="3">
        <v>0</v>
      </c>
      <c r="I32" s="3">
        <v>0</v>
      </c>
      <c r="J32" s="3">
        <v>0</v>
      </c>
      <c r="K32" t="s">
        <v>36</v>
      </c>
    </row>
    <row r="33" spans="1:11" ht="30" x14ac:dyDescent="0.25">
      <c r="A33" s="4" t="s">
        <v>272</v>
      </c>
      <c r="B33" s="1">
        <v>619848</v>
      </c>
      <c r="C33" s="1">
        <v>619848</v>
      </c>
      <c r="D33" s="1">
        <v>0</v>
      </c>
      <c r="E33" s="1">
        <v>0</v>
      </c>
      <c r="F33" s="1">
        <v>0</v>
      </c>
      <c r="G33" s="2">
        <v>0</v>
      </c>
      <c r="H33" s="3">
        <v>0</v>
      </c>
      <c r="I33" s="3">
        <v>0</v>
      </c>
      <c r="J33" s="3">
        <v>0</v>
      </c>
      <c r="K33" t="s">
        <v>34</v>
      </c>
    </row>
    <row r="34" spans="1:11" ht="45" x14ac:dyDescent="0.25">
      <c r="A34" s="4" t="s">
        <v>273</v>
      </c>
      <c r="B34" s="1">
        <v>5140059</v>
      </c>
      <c r="C34" s="1">
        <v>5140059</v>
      </c>
      <c r="D34" s="1">
        <v>0</v>
      </c>
      <c r="E34" s="1">
        <v>0</v>
      </c>
      <c r="F34" s="1">
        <v>0</v>
      </c>
      <c r="G34" s="2">
        <v>0</v>
      </c>
      <c r="H34" s="3">
        <v>0</v>
      </c>
      <c r="I34" s="3">
        <v>0</v>
      </c>
      <c r="J34" s="3">
        <v>0</v>
      </c>
      <c r="K34" t="s">
        <v>39</v>
      </c>
    </row>
    <row r="35" spans="1:11" ht="30" x14ac:dyDescent="0.25">
      <c r="A35" s="4" t="s">
        <v>274</v>
      </c>
      <c r="B35" s="1">
        <v>36556</v>
      </c>
      <c r="C35" s="1">
        <v>36556</v>
      </c>
      <c r="D35" s="1">
        <v>0</v>
      </c>
      <c r="E35" s="1">
        <v>36556</v>
      </c>
      <c r="F35" s="1">
        <v>36556</v>
      </c>
      <c r="G35" s="2">
        <v>1</v>
      </c>
      <c r="H35" s="3">
        <v>0</v>
      </c>
      <c r="I35" s="3">
        <v>1</v>
      </c>
      <c r="J35" s="3">
        <v>1</v>
      </c>
      <c r="K35" t="s">
        <v>33</v>
      </c>
    </row>
    <row r="36" spans="1:11" ht="30" x14ac:dyDescent="0.25">
      <c r="A36" s="4" t="s">
        <v>275</v>
      </c>
      <c r="B36" s="1">
        <v>90860</v>
      </c>
      <c r="C36" s="1">
        <v>90860</v>
      </c>
      <c r="D36" s="1">
        <v>0</v>
      </c>
      <c r="E36" s="1">
        <v>90860</v>
      </c>
      <c r="F36" s="1">
        <v>90860</v>
      </c>
      <c r="G36" s="2">
        <v>1</v>
      </c>
      <c r="H36" s="3">
        <v>0</v>
      </c>
      <c r="I36" s="3">
        <v>1</v>
      </c>
      <c r="J36" s="3">
        <v>1</v>
      </c>
      <c r="K36" t="s">
        <v>33</v>
      </c>
    </row>
    <row r="37" spans="1:11" ht="30" x14ac:dyDescent="0.25">
      <c r="A37" s="4" t="s">
        <v>276</v>
      </c>
      <c r="B37" s="1">
        <v>63720</v>
      </c>
      <c r="C37" s="1">
        <v>63720</v>
      </c>
      <c r="D37" s="1">
        <v>0</v>
      </c>
      <c r="E37" s="1">
        <v>63720</v>
      </c>
      <c r="F37" s="1">
        <v>63720</v>
      </c>
      <c r="G37" s="2">
        <v>1</v>
      </c>
      <c r="H37" s="3">
        <v>0</v>
      </c>
      <c r="I37" s="3">
        <v>1</v>
      </c>
      <c r="J37" s="3">
        <v>1</v>
      </c>
      <c r="K37" t="s">
        <v>33</v>
      </c>
    </row>
    <row r="38" spans="1:11" ht="30" x14ac:dyDescent="0.25">
      <c r="A38" s="4" t="s">
        <v>277</v>
      </c>
      <c r="B38" s="1">
        <v>500000</v>
      </c>
      <c r="C38" s="1">
        <v>500000</v>
      </c>
      <c r="D38" s="1">
        <v>0</v>
      </c>
      <c r="E38" s="1">
        <v>0</v>
      </c>
      <c r="F38" s="1">
        <v>0</v>
      </c>
      <c r="G38" s="2">
        <v>0</v>
      </c>
      <c r="H38" s="3">
        <v>0</v>
      </c>
      <c r="I38" s="3">
        <v>0</v>
      </c>
      <c r="J38" s="3">
        <v>0</v>
      </c>
      <c r="K38" t="s">
        <v>36</v>
      </c>
    </row>
    <row r="39" spans="1:11" ht="30" x14ac:dyDescent="0.25">
      <c r="A39" s="4" t="s">
        <v>278</v>
      </c>
      <c r="B39" s="1">
        <v>1300000</v>
      </c>
      <c r="C39" s="1">
        <v>1300000</v>
      </c>
      <c r="D39" s="1">
        <v>0</v>
      </c>
      <c r="E39" s="1">
        <v>0</v>
      </c>
      <c r="F39" s="1">
        <v>0</v>
      </c>
      <c r="G39" s="2">
        <v>0</v>
      </c>
      <c r="H39" s="3">
        <v>0</v>
      </c>
      <c r="I39" s="3">
        <v>0</v>
      </c>
      <c r="J39" s="3">
        <v>0</v>
      </c>
      <c r="K39" t="s">
        <v>35</v>
      </c>
    </row>
    <row r="40" spans="1:11" ht="30" x14ac:dyDescent="0.25">
      <c r="A40" s="4" t="s">
        <v>279</v>
      </c>
      <c r="B40" s="1">
        <v>450000</v>
      </c>
      <c r="C40" s="1">
        <v>450000</v>
      </c>
      <c r="D40" s="1">
        <v>0</v>
      </c>
      <c r="E40" s="1">
        <v>0</v>
      </c>
      <c r="F40" s="1">
        <v>0</v>
      </c>
      <c r="G40" s="2">
        <v>0</v>
      </c>
      <c r="H40" s="3">
        <v>0</v>
      </c>
      <c r="I40" s="3">
        <v>0</v>
      </c>
      <c r="J40" s="3">
        <v>0</v>
      </c>
      <c r="K40" t="s">
        <v>35</v>
      </c>
    </row>
    <row r="41" spans="1:11" ht="30" x14ac:dyDescent="0.25">
      <c r="A41" s="4" t="s">
        <v>280</v>
      </c>
      <c r="B41" s="1">
        <v>2334698.8199999998</v>
      </c>
      <c r="C41" s="1">
        <v>2334698.8199999998</v>
      </c>
      <c r="D41" s="1">
        <v>0</v>
      </c>
      <c r="E41" s="1">
        <v>0</v>
      </c>
      <c r="F41" s="1">
        <v>0</v>
      </c>
      <c r="G41" s="2">
        <v>0</v>
      </c>
      <c r="H41" s="3">
        <v>0</v>
      </c>
      <c r="I41" s="3">
        <v>0</v>
      </c>
      <c r="J41" s="3">
        <v>0</v>
      </c>
      <c r="K41" t="s">
        <v>37</v>
      </c>
    </row>
    <row r="42" spans="1:11" ht="30" x14ac:dyDescent="0.25">
      <c r="A42" s="4" t="s">
        <v>281</v>
      </c>
      <c r="B42" s="1">
        <v>793719.21</v>
      </c>
      <c r="C42" s="1">
        <v>793719.21</v>
      </c>
      <c r="D42" s="1">
        <v>0</v>
      </c>
      <c r="E42" s="1">
        <v>0</v>
      </c>
      <c r="F42" s="1">
        <v>0</v>
      </c>
      <c r="G42" s="2">
        <v>0</v>
      </c>
      <c r="H42" s="3">
        <v>0</v>
      </c>
      <c r="I42" s="3">
        <v>0</v>
      </c>
      <c r="J42" s="3">
        <v>0</v>
      </c>
      <c r="K42" t="s">
        <v>37</v>
      </c>
    </row>
    <row r="43" spans="1:11" ht="30" x14ac:dyDescent="0.25">
      <c r="A43" s="4" t="s">
        <v>282</v>
      </c>
      <c r="B43" s="1">
        <v>150000</v>
      </c>
      <c r="C43" s="1">
        <v>150000</v>
      </c>
      <c r="D43" s="1">
        <v>0</v>
      </c>
      <c r="E43" s="1">
        <v>0</v>
      </c>
      <c r="F43" s="1">
        <v>0</v>
      </c>
      <c r="G43" s="2">
        <v>0</v>
      </c>
      <c r="H43" s="3">
        <v>0</v>
      </c>
      <c r="I43" s="3">
        <v>0</v>
      </c>
      <c r="J43" s="3">
        <v>0</v>
      </c>
      <c r="K43" t="s">
        <v>36</v>
      </c>
    </row>
    <row r="44" spans="1:11" ht="30" x14ac:dyDescent="0.25">
      <c r="A44" s="4" t="s">
        <v>283</v>
      </c>
      <c r="B44" s="1">
        <v>250000</v>
      </c>
      <c r="C44" s="1">
        <v>250000</v>
      </c>
      <c r="D44" s="1">
        <v>0</v>
      </c>
      <c r="E44" s="1">
        <v>0</v>
      </c>
      <c r="F44" s="1">
        <v>0</v>
      </c>
      <c r="G44" s="2">
        <v>0</v>
      </c>
      <c r="H44" s="3">
        <v>0</v>
      </c>
      <c r="I44" s="3">
        <v>0</v>
      </c>
      <c r="J44" s="3">
        <v>0</v>
      </c>
      <c r="K44" t="s">
        <v>36</v>
      </c>
    </row>
    <row r="45" spans="1:11" ht="30" x14ac:dyDescent="0.25">
      <c r="A45" s="4" t="s">
        <v>284</v>
      </c>
      <c r="B45" s="1">
        <v>500000</v>
      </c>
      <c r="C45" s="1">
        <v>500000</v>
      </c>
      <c r="D45" s="1">
        <v>0</v>
      </c>
      <c r="E45" s="1">
        <v>0</v>
      </c>
      <c r="F45" s="1">
        <v>0</v>
      </c>
      <c r="G45" s="2">
        <v>0</v>
      </c>
      <c r="H45" s="3">
        <v>0</v>
      </c>
      <c r="I45" s="3">
        <v>0</v>
      </c>
      <c r="J45" s="3">
        <v>0</v>
      </c>
      <c r="K45" t="s">
        <v>36</v>
      </c>
    </row>
    <row r="46" spans="1:11" ht="30" x14ac:dyDescent="0.25">
      <c r="A46" s="4" t="s">
        <v>285</v>
      </c>
      <c r="B46" s="1">
        <v>200000</v>
      </c>
      <c r="C46" s="1">
        <v>200000</v>
      </c>
      <c r="D46" s="1">
        <v>0</v>
      </c>
      <c r="E46" s="1">
        <v>0</v>
      </c>
      <c r="F46" s="1">
        <v>0</v>
      </c>
      <c r="G46" s="2">
        <v>0</v>
      </c>
      <c r="H46" s="3">
        <v>0</v>
      </c>
      <c r="I46" s="3">
        <v>0</v>
      </c>
      <c r="J46" s="3">
        <v>0</v>
      </c>
      <c r="K46" t="s">
        <v>36</v>
      </c>
    </row>
    <row r="47" spans="1:11" ht="30" x14ac:dyDescent="0.25">
      <c r="A47" s="4" t="s">
        <v>286</v>
      </c>
      <c r="B47" s="1">
        <v>100000</v>
      </c>
      <c r="C47" s="1">
        <v>100000</v>
      </c>
      <c r="D47" s="1">
        <v>0</v>
      </c>
      <c r="E47" s="1">
        <v>0</v>
      </c>
      <c r="F47" s="1">
        <v>0</v>
      </c>
      <c r="G47" s="2">
        <v>0</v>
      </c>
      <c r="H47" s="3">
        <v>0</v>
      </c>
      <c r="I47" s="3">
        <v>0</v>
      </c>
      <c r="J47" s="3">
        <v>0</v>
      </c>
      <c r="K47" t="s">
        <v>36</v>
      </c>
    </row>
    <row r="48" spans="1:11" ht="30" x14ac:dyDescent="0.25">
      <c r="A48" s="4" t="s">
        <v>287</v>
      </c>
      <c r="B48" s="1">
        <v>50000</v>
      </c>
      <c r="C48" s="1">
        <v>50000</v>
      </c>
      <c r="D48" s="1">
        <v>0</v>
      </c>
      <c r="E48" s="1">
        <v>50000</v>
      </c>
      <c r="F48" s="1">
        <v>50000</v>
      </c>
      <c r="G48" s="2">
        <v>1</v>
      </c>
      <c r="H48" s="3">
        <v>0</v>
      </c>
      <c r="I48" s="3">
        <v>1</v>
      </c>
      <c r="J48" s="3">
        <v>1</v>
      </c>
      <c r="K48" t="s">
        <v>36</v>
      </c>
    </row>
    <row r="49" spans="1:11" ht="30" x14ac:dyDescent="0.25">
      <c r="A49" s="4" t="s">
        <v>60</v>
      </c>
      <c r="B49" s="1">
        <v>750000</v>
      </c>
      <c r="C49" s="1">
        <v>750000</v>
      </c>
      <c r="D49" s="1">
        <v>0</v>
      </c>
      <c r="E49" s="1">
        <v>0</v>
      </c>
      <c r="F49" s="1">
        <v>0</v>
      </c>
      <c r="G49" s="2">
        <v>0</v>
      </c>
      <c r="H49" s="3">
        <v>0</v>
      </c>
      <c r="I49" s="3">
        <v>0</v>
      </c>
      <c r="J49" s="3">
        <v>0.25</v>
      </c>
      <c r="K49" t="s">
        <v>36</v>
      </c>
    </row>
    <row r="50" spans="1:11" ht="30" x14ac:dyDescent="0.25">
      <c r="A50" s="4" t="s">
        <v>288</v>
      </c>
      <c r="B50" s="1">
        <v>50000</v>
      </c>
      <c r="C50" s="1">
        <v>50000</v>
      </c>
      <c r="D50" s="1">
        <v>0</v>
      </c>
      <c r="E50" s="1">
        <v>0</v>
      </c>
      <c r="F50" s="1">
        <v>0</v>
      </c>
      <c r="G50" s="2">
        <v>0</v>
      </c>
      <c r="H50" s="3">
        <v>0</v>
      </c>
      <c r="I50" s="3">
        <v>0</v>
      </c>
      <c r="J50" s="3">
        <v>0</v>
      </c>
      <c r="K50" t="s">
        <v>32</v>
      </c>
    </row>
    <row r="51" spans="1:11" x14ac:dyDescent="0.25">
      <c r="A51" s="4" t="s">
        <v>289</v>
      </c>
      <c r="B51" s="1">
        <v>100000</v>
      </c>
      <c r="C51" s="1">
        <v>100000</v>
      </c>
      <c r="D51" s="1">
        <v>0</v>
      </c>
      <c r="E51" s="1">
        <v>0</v>
      </c>
      <c r="F51" s="1">
        <v>0</v>
      </c>
      <c r="G51" s="2">
        <v>0</v>
      </c>
      <c r="H51" s="3">
        <v>0</v>
      </c>
      <c r="I51" s="3">
        <v>0</v>
      </c>
      <c r="J51" s="3">
        <v>0</v>
      </c>
      <c r="K51" t="s">
        <v>36</v>
      </c>
    </row>
    <row r="52" spans="1:11" ht="30" x14ac:dyDescent="0.25">
      <c r="A52" s="4" t="s">
        <v>290</v>
      </c>
      <c r="B52" s="1">
        <v>50000</v>
      </c>
      <c r="C52" s="1">
        <v>50000</v>
      </c>
      <c r="D52" s="1">
        <v>0</v>
      </c>
      <c r="E52" s="1">
        <v>0</v>
      </c>
      <c r="F52" s="1">
        <v>0</v>
      </c>
      <c r="G52" s="2">
        <v>0</v>
      </c>
      <c r="H52" s="3">
        <v>0</v>
      </c>
      <c r="I52" s="3">
        <v>0</v>
      </c>
      <c r="J52" s="3">
        <v>0</v>
      </c>
      <c r="K52" t="s">
        <v>32</v>
      </c>
    </row>
    <row r="53" spans="1:11" ht="30" x14ac:dyDescent="0.25">
      <c r="A53" s="4" t="s">
        <v>291</v>
      </c>
      <c r="B53" s="1">
        <v>300000</v>
      </c>
      <c r="C53" s="1">
        <v>300000</v>
      </c>
      <c r="D53" s="1">
        <v>0</v>
      </c>
      <c r="E53" s="1">
        <v>0</v>
      </c>
      <c r="F53" s="1">
        <v>0</v>
      </c>
      <c r="G53" s="2">
        <v>0</v>
      </c>
      <c r="H53" s="3">
        <v>0</v>
      </c>
      <c r="I53" s="3">
        <v>0</v>
      </c>
      <c r="J53" s="3">
        <v>0</v>
      </c>
      <c r="K53" t="s">
        <v>32</v>
      </c>
    </row>
    <row r="54" spans="1:11" ht="30" x14ac:dyDescent="0.25">
      <c r="A54" s="4" t="s">
        <v>292</v>
      </c>
      <c r="B54" s="1">
        <v>380000</v>
      </c>
      <c r="C54" s="1">
        <v>380000</v>
      </c>
      <c r="D54" s="1">
        <v>0</v>
      </c>
      <c r="E54" s="1">
        <v>0</v>
      </c>
      <c r="F54" s="1">
        <v>0</v>
      </c>
      <c r="G54" s="2">
        <v>0</v>
      </c>
      <c r="H54" s="3">
        <v>0</v>
      </c>
      <c r="I54" s="3">
        <v>0</v>
      </c>
      <c r="J54" s="3">
        <v>0</v>
      </c>
      <c r="K54" t="s">
        <v>32</v>
      </c>
    </row>
    <row r="55" spans="1:11" ht="30" x14ac:dyDescent="0.25">
      <c r="A55" s="4" t="s">
        <v>293</v>
      </c>
      <c r="B55" s="1">
        <v>20000</v>
      </c>
      <c r="C55" s="1">
        <v>20000</v>
      </c>
      <c r="D55" s="1">
        <v>0</v>
      </c>
      <c r="E55" s="1">
        <v>0</v>
      </c>
      <c r="F55" s="1">
        <v>0</v>
      </c>
      <c r="G55" s="2">
        <v>0</v>
      </c>
      <c r="H55" s="3">
        <v>0</v>
      </c>
      <c r="I55" s="3">
        <v>0</v>
      </c>
      <c r="J55" s="3">
        <v>0</v>
      </c>
      <c r="K55" t="s">
        <v>32</v>
      </c>
    </row>
    <row r="56" spans="1:11" ht="30" x14ac:dyDescent="0.25">
      <c r="A56" s="4" t="s">
        <v>294</v>
      </c>
      <c r="B56" s="1">
        <v>70000</v>
      </c>
      <c r="C56" s="1">
        <v>70000</v>
      </c>
      <c r="D56" s="1">
        <v>0</v>
      </c>
      <c r="E56" s="1">
        <v>0</v>
      </c>
      <c r="F56" s="1">
        <v>0</v>
      </c>
      <c r="G56" s="2">
        <v>0</v>
      </c>
      <c r="H56" s="3">
        <v>0</v>
      </c>
      <c r="I56" s="3">
        <v>0</v>
      </c>
      <c r="J56" s="3">
        <v>0</v>
      </c>
      <c r="K56" t="s">
        <v>32</v>
      </c>
    </row>
    <row r="57" spans="1:11" ht="30" x14ac:dyDescent="0.25">
      <c r="A57" s="4" t="s">
        <v>295</v>
      </c>
      <c r="B57" s="1">
        <v>44448.85</v>
      </c>
      <c r="C57" s="1">
        <v>44448.85</v>
      </c>
      <c r="D57" s="1">
        <v>0</v>
      </c>
      <c r="E57" s="1">
        <v>44448.85</v>
      </c>
      <c r="F57" s="1">
        <v>44448.85</v>
      </c>
      <c r="G57" s="2">
        <v>1</v>
      </c>
      <c r="H57" s="3">
        <v>0</v>
      </c>
      <c r="I57" s="3">
        <v>1</v>
      </c>
      <c r="J57" s="3">
        <v>1</v>
      </c>
      <c r="K57" t="s">
        <v>32</v>
      </c>
    </row>
    <row r="58" spans="1:11" ht="30" x14ac:dyDescent="0.25">
      <c r="A58" s="4" t="s">
        <v>296</v>
      </c>
      <c r="B58" s="1">
        <v>250000</v>
      </c>
      <c r="C58" s="1">
        <v>250000</v>
      </c>
      <c r="D58" s="1">
        <v>0</v>
      </c>
      <c r="E58" s="1">
        <v>0</v>
      </c>
      <c r="F58" s="1">
        <v>0</v>
      </c>
      <c r="G58" s="2">
        <v>0</v>
      </c>
      <c r="H58" s="3">
        <v>0</v>
      </c>
      <c r="I58" s="3">
        <v>0</v>
      </c>
      <c r="J58" s="3">
        <v>0</v>
      </c>
      <c r="K58" t="s">
        <v>32</v>
      </c>
    </row>
    <row r="59" spans="1:11" ht="30" x14ac:dyDescent="0.25">
      <c r="A59" s="4" t="s">
        <v>297</v>
      </c>
      <c r="B59" s="1">
        <v>120000</v>
      </c>
      <c r="C59" s="1">
        <v>120000</v>
      </c>
      <c r="D59" s="1">
        <v>0</v>
      </c>
      <c r="E59" s="1">
        <v>0</v>
      </c>
      <c r="F59" s="1">
        <v>0</v>
      </c>
      <c r="G59" s="2">
        <v>0</v>
      </c>
      <c r="H59" s="3">
        <v>0</v>
      </c>
      <c r="I59" s="3">
        <v>0</v>
      </c>
      <c r="J59" s="3">
        <v>0</v>
      </c>
      <c r="K59" t="s">
        <v>36</v>
      </c>
    </row>
    <row r="60" spans="1:11" ht="30" x14ac:dyDescent="0.25">
      <c r="A60" s="4" t="s">
        <v>298</v>
      </c>
      <c r="B60" s="1">
        <v>400000</v>
      </c>
      <c r="C60" s="1">
        <v>400000</v>
      </c>
      <c r="D60" s="1">
        <v>0</v>
      </c>
      <c r="E60" s="1">
        <v>0</v>
      </c>
      <c r="F60" s="1">
        <v>0</v>
      </c>
      <c r="G60" s="2">
        <v>0</v>
      </c>
      <c r="H60" s="3">
        <v>0</v>
      </c>
      <c r="I60" s="3">
        <v>0</v>
      </c>
      <c r="J60" s="3">
        <v>0</v>
      </c>
      <c r="K60" t="s">
        <v>32</v>
      </c>
    </row>
    <row r="61" spans="1:11" ht="30" x14ac:dyDescent="0.25">
      <c r="A61" s="4" t="s">
        <v>299</v>
      </c>
      <c r="B61" s="1">
        <v>50000</v>
      </c>
      <c r="C61" s="1">
        <v>50000</v>
      </c>
      <c r="D61" s="1">
        <v>0</v>
      </c>
      <c r="E61" s="1">
        <v>0</v>
      </c>
      <c r="F61" s="1">
        <v>0</v>
      </c>
      <c r="G61" s="2">
        <v>0</v>
      </c>
      <c r="H61" s="3">
        <v>0</v>
      </c>
      <c r="I61" s="3">
        <v>0</v>
      </c>
      <c r="J61" s="3">
        <v>0</v>
      </c>
      <c r="K61" t="s">
        <v>32</v>
      </c>
    </row>
    <row r="62" spans="1:11" ht="30" x14ac:dyDescent="0.25">
      <c r="A62" s="4" t="s">
        <v>300</v>
      </c>
      <c r="B62" s="1">
        <v>35000</v>
      </c>
      <c r="C62" s="1">
        <v>35000</v>
      </c>
      <c r="D62" s="1">
        <v>0</v>
      </c>
      <c r="E62" s="1">
        <v>0</v>
      </c>
      <c r="F62" s="1">
        <v>0</v>
      </c>
      <c r="G62" s="2">
        <v>0</v>
      </c>
      <c r="H62" s="3">
        <v>0</v>
      </c>
      <c r="I62" s="3">
        <v>0</v>
      </c>
      <c r="J62" s="3">
        <v>0</v>
      </c>
      <c r="K62" t="s">
        <v>32</v>
      </c>
    </row>
    <row r="63" spans="1:11" ht="30" x14ac:dyDescent="0.25">
      <c r="A63" s="4" t="s">
        <v>301</v>
      </c>
      <c r="B63" s="1">
        <v>300000</v>
      </c>
      <c r="C63" s="1">
        <v>300000</v>
      </c>
      <c r="D63" s="1">
        <v>0</v>
      </c>
      <c r="E63" s="1">
        <v>0</v>
      </c>
      <c r="F63" s="1">
        <v>0</v>
      </c>
      <c r="G63" s="2">
        <v>0</v>
      </c>
      <c r="H63" s="3">
        <v>0</v>
      </c>
      <c r="I63" s="3">
        <v>0</v>
      </c>
      <c r="J63" s="3">
        <v>0</v>
      </c>
      <c r="K63" t="s">
        <v>32</v>
      </c>
    </row>
    <row r="64" spans="1:11" ht="30" x14ac:dyDescent="0.25">
      <c r="A64" s="4" t="s">
        <v>59</v>
      </c>
      <c r="B64" s="1">
        <v>230000</v>
      </c>
      <c r="C64" s="1">
        <v>230000</v>
      </c>
      <c r="D64" s="1">
        <v>0</v>
      </c>
      <c r="E64" s="1">
        <v>0</v>
      </c>
      <c r="F64" s="1">
        <v>0</v>
      </c>
      <c r="G64" s="2">
        <v>0</v>
      </c>
      <c r="H64" s="3">
        <v>0</v>
      </c>
      <c r="I64" s="3">
        <v>0</v>
      </c>
      <c r="J64" s="3">
        <v>0.25</v>
      </c>
      <c r="K64" t="s">
        <v>32</v>
      </c>
    </row>
    <row r="65" spans="1:11" ht="30" x14ac:dyDescent="0.25">
      <c r="A65" s="4" t="s">
        <v>302</v>
      </c>
      <c r="B65" s="1">
        <v>250000</v>
      </c>
      <c r="C65" s="1">
        <v>250000</v>
      </c>
      <c r="D65" s="1">
        <v>0</v>
      </c>
      <c r="E65" s="1">
        <v>0</v>
      </c>
      <c r="F65" s="1">
        <v>0</v>
      </c>
      <c r="G65" s="2">
        <v>0</v>
      </c>
      <c r="H65" s="3">
        <v>0</v>
      </c>
      <c r="I65" s="3">
        <v>0</v>
      </c>
      <c r="J65" s="3">
        <v>0</v>
      </c>
      <c r="K65" t="s">
        <v>36</v>
      </c>
    </row>
    <row r="66" spans="1:11" x14ac:dyDescent="0.25">
      <c r="A66" s="4" t="s">
        <v>303</v>
      </c>
      <c r="B66" s="1">
        <v>250000</v>
      </c>
      <c r="C66" s="1">
        <v>250000</v>
      </c>
      <c r="D66" s="1">
        <v>0</v>
      </c>
      <c r="E66" s="1">
        <v>0</v>
      </c>
      <c r="F66" s="1">
        <v>0</v>
      </c>
      <c r="G66" s="2">
        <v>0</v>
      </c>
      <c r="H66" s="3">
        <v>0</v>
      </c>
      <c r="I66" s="3">
        <v>0</v>
      </c>
      <c r="J66" s="3">
        <v>0</v>
      </c>
      <c r="K66" t="s">
        <v>33</v>
      </c>
    </row>
    <row r="67" spans="1:11" x14ac:dyDescent="0.25">
      <c r="A67" s="4" t="s">
        <v>304</v>
      </c>
      <c r="B67" s="1">
        <v>1099999.99</v>
      </c>
      <c r="C67" s="1">
        <v>1099999.99</v>
      </c>
      <c r="D67" s="1">
        <v>0</v>
      </c>
      <c r="E67" s="1">
        <v>1099999.99</v>
      </c>
      <c r="F67" s="1">
        <v>1099999.99</v>
      </c>
      <c r="G67" s="2">
        <v>1</v>
      </c>
      <c r="H67" s="3">
        <v>0</v>
      </c>
      <c r="I67" s="3">
        <v>1</v>
      </c>
      <c r="J67" s="3">
        <v>1</v>
      </c>
      <c r="K67" t="s">
        <v>33</v>
      </c>
    </row>
    <row r="68" spans="1:11" ht="30" x14ac:dyDescent="0.25">
      <c r="A68" s="4" t="s">
        <v>305</v>
      </c>
      <c r="B68" s="1">
        <v>2300000</v>
      </c>
      <c r="C68" s="1">
        <v>2300000</v>
      </c>
      <c r="D68" s="1">
        <v>0</v>
      </c>
      <c r="E68" s="1">
        <v>0</v>
      </c>
      <c r="F68" s="1">
        <v>0</v>
      </c>
      <c r="G68" s="2">
        <v>0</v>
      </c>
      <c r="H68" s="3">
        <v>0</v>
      </c>
      <c r="I68" s="3">
        <v>0</v>
      </c>
      <c r="J68" s="3">
        <v>0</v>
      </c>
      <c r="K68" t="s">
        <v>33</v>
      </c>
    </row>
    <row r="69" spans="1:11" ht="30" x14ac:dyDescent="0.25">
      <c r="A69" s="4" t="s">
        <v>306</v>
      </c>
      <c r="B69" s="1">
        <v>700000</v>
      </c>
      <c r="C69" s="1">
        <v>700000</v>
      </c>
      <c r="D69" s="1">
        <v>0</v>
      </c>
      <c r="E69" s="1">
        <v>0</v>
      </c>
      <c r="F69" s="1">
        <v>0</v>
      </c>
      <c r="G69" s="2">
        <v>0</v>
      </c>
      <c r="H69" s="3">
        <v>0</v>
      </c>
      <c r="I69" s="3">
        <v>0</v>
      </c>
      <c r="J69" s="3">
        <v>0</v>
      </c>
      <c r="K69" t="s">
        <v>33</v>
      </c>
    </row>
    <row r="70" spans="1:11" ht="30" x14ac:dyDescent="0.25">
      <c r="A70" s="4" t="s">
        <v>307</v>
      </c>
      <c r="B70" s="1">
        <v>3498087.99</v>
      </c>
      <c r="C70" s="1">
        <v>3498087.99</v>
      </c>
      <c r="D70" s="1">
        <v>0</v>
      </c>
      <c r="E70" s="1">
        <v>3498087.99</v>
      </c>
      <c r="F70" s="1">
        <v>3498087.99</v>
      </c>
      <c r="G70" s="2">
        <v>1</v>
      </c>
      <c r="H70" s="3">
        <v>0</v>
      </c>
      <c r="I70" s="3">
        <v>1</v>
      </c>
      <c r="J70" s="3">
        <v>1</v>
      </c>
      <c r="K70" t="s">
        <v>33</v>
      </c>
    </row>
    <row r="71" spans="1:11" ht="30" x14ac:dyDescent="0.25">
      <c r="A71" s="4" t="s">
        <v>308</v>
      </c>
      <c r="B71" s="1">
        <v>50000</v>
      </c>
      <c r="C71" s="1">
        <v>50000</v>
      </c>
      <c r="D71" s="1">
        <v>0</v>
      </c>
      <c r="E71" s="1">
        <v>0</v>
      </c>
      <c r="F71" s="1">
        <v>0</v>
      </c>
      <c r="G71" s="2">
        <v>0</v>
      </c>
      <c r="H71" s="3">
        <v>0</v>
      </c>
      <c r="I71" s="3">
        <v>0</v>
      </c>
      <c r="J71" s="3">
        <v>0</v>
      </c>
      <c r="K71" t="s">
        <v>36</v>
      </c>
    </row>
    <row r="72" spans="1:11" ht="30" x14ac:dyDescent="0.25">
      <c r="A72" s="4" t="s">
        <v>309</v>
      </c>
      <c r="B72" s="1">
        <v>2000000</v>
      </c>
      <c r="C72" s="1">
        <v>2000000</v>
      </c>
      <c r="D72" s="1">
        <v>0</v>
      </c>
      <c r="E72" s="1">
        <v>0</v>
      </c>
      <c r="F72" s="1">
        <v>0</v>
      </c>
      <c r="G72" s="2">
        <v>0</v>
      </c>
      <c r="H72" s="3">
        <v>0</v>
      </c>
      <c r="I72" s="3">
        <v>0</v>
      </c>
      <c r="J72" s="3">
        <v>0</v>
      </c>
      <c r="K72" t="s">
        <v>34</v>
      </c>
    </row>
    <row r="73" spans="1:11" ht="30" x14ac:dyDescent="0.25">
      <c r="A73" s="4" t="s">
        <v>310</v>
      </c>
      <c r="B73" s="1">
        <v>1150000</v>
      </c>
      <c r="C73" s="1">
        <v>1150000</v>
      </c>
      <c r="D73" s="1">
        <v>0</v>
      </c>
      <c r="E73" s="1">
        <v>0</v>
      </c>
      <c r="F73" s="1">
        <v>0</v>
      </c>
      <c r="G73" s="2">
        <v>0</v>
      </c>
      <c r="H73" s="3">
        <v>0</v>
      </c>
      <c r="I73" s="3">
        <v>0</v>
      </c>
      <c r="J73" s="3">
        <v>0</v>
      </c>
      <c r="K73" t="s">
        <v>34</v>
      </c>
    </row>
    <row r="74" spans="1:11" ht="30" x14ac:dyDescent="0.25">
      <c r="A74" s="4" t="s">
        <v>311</v>
      </c>
      <c r="B74" s="1">
        <v>2000000</v>
      </c>
      <c r="C74" s="1">
        <v>2000000</v>
      </c>
      <c r="D74" s="1">
        <v>0</v>
      </c>
      <c r="E74" s="1">
        <v>0</v>
      </c>
      <c r="F74" s="1">
        <v>0</v>
      </c>
      <c r="G74" s="2">
        <v>0</v>
      </c>
      <c r="H74" s="3">
        <v>0</v>
      </c>
      <c r="I74" s="3">
        <v>0</v>
      </c>
      <c r="J74" s="3">
        <v>0</v>
      </c>
      <c r="K74" t="s">
        <v>34</v>
      </c>
    </row>
    <row r="75" spans="1:11" ht="30" x14ac:dyDescent="0.25">
      <c r="A75" s="4" t="s">
        <v>312</v>
      </c>
      <c r="B75" s="1">
        <v>2000000</v>
      </c>
      <c r="C75" s="1">
        <v>2000000</v>
      </c>
      <c r="D75" s="1">
        <v>0</v>
      </c>
      <c r="E75" s="1">
        <v>0</v>
      </c>
      <c r="F75" s="1">
        <v>0</v>
      </c>
      <c r="G75" s="2">
        <v>0</v>
      </c>
      <c r="H75" s="3">
        <v>0</v>
      </c>
      <c r="I75" s="3">
        <v>0</v>
      </c>
      <c r="J75" s="3">
        <v>0</v>
      </c>
      <c r="K75" t="s">
        <v>34</v>
      </c>
    </row>
    <row r="76" spans="1:11" ht="30" x14ac:dyDescent="0.25">
      <c r="A76" s="4" t="s">
        <v>313</v>
      </c>
      <c r="B76" s="1">
        <v>312700</v>
      </c>
      <c r="C76" s="1">
        <v>312700</v>
      </c>
      <c r="D76" s="1">
        <v>0</v>
      </c>
      <c r="E76" s="1">
        <v>312700</v>
      </c>
      <c r="F76" s="1">
        <v>312700</v>
      </c>
      <c r="G76" s="2">
        <v>1</v>
      </c>
      <c r="H76" s="3">
        <v>0</v>
      </c>
      <c r="I76" s="3">
        <v>1</v>
      </c>
      <c r="J76" s="3">
        <v>1</v>
      </c>
      <c r="K76" t="s">
        <v>38</v>
      </c>
    </row>
    <row r="77" spans="1:11" ht="30" x14ac:dyDescent="0.25">
      <c r="A77" s="4" t="s">
        <v>314</v>
      </c>
      <c r="B77" s="1">
        <v>100000</v>
      </c>
      <c r="C77" s="1">
        <v>100000</v>
      </c>
      <c r="D77" s="1">
        <v>0</v>
      </c>
      <c r="E77" s="1">
        <v>0</v>
      </c>
      <c r="F77" s="1">
        <v>0</v>
      </c>
      <c r="G77" s="2">
        <v>0</v>
      </c>
      <c r="H77" s="3">
        <v>0</v>
      </c>
      <c r="I77" s="3">
        <v>0</v>
      </c>
      <c r="J77" s="3">
        <v>0</v>
      </c>
      <c r="K77" t="s">
        <v>38</v>
      </c>
    </row>
    <row r="78" spans="1:11" ht="30" x14ac:dyDescent="0.25">
      <c r="A78" s="4" t="s">
        <v>315</v>
      </c>
      <c r="B78" s="1">
        <v>90000</v>
      </c>
      <c r="C78" s="1">
        <v>90000</v>
      </c>
      <c r="D78" s="1">
        <v>0</v>
      </c>
      <c r="E78" s="1">
        <v>0</v>
      </c>
      <c r="F78" s="1">
        <v>0</v>
      </c>
      <c r="G78" s="2">
        <v>0</v>
      </c>
      <c r="H78" s="3">
        <v>0</v>
      </c>
      <c r="I78" s="3">
        <v>0</v>
      </c>
      <c r="J78" s="3">
        <v>0</v>
      </c>
      <c r="K78" t="s">
        <v>39</v>
      </c>
    </row>
    <row r="79" spans="1:11" ht="30" x14ac:dyDescent="0.25">
      <c r="A79" s="4" t="s">
        <v>316</v>
      </c>
      <c r="B79" s="1">
        <v>50000</v>
      </c>
      <c r="C79" s="1">
        <v>50000</v>
      </c>
      <c r="D79" s="1">
        <v>0</v>
      </c>
      <c r="E79" s="1">
        <v>0</v>
      </c>
      <c r="F79" s="1">
        <v>0</v>
      </c>
      <c r="G79" s="2">
        <v>0</v>
      </c>
      <c r="H79" s="3">
        <v>0</v>
      </c>
      <c r="I79" s="3">
        <v>0</v>
      </c>
      <c r="J79" s="3">
        <v>0</v>
      </c>
      <c r="K79" t="s">
        <v>39</v>
      </c>
    </row>
    <row r="80" spans="1:11" ht="30" x14ac:dyDescent="0.25">
      <c r="A80" s="4" t="s">
        <v>317</v>
      </c>
      <c r="B80" s="1">
        <v>200000</v>
      </c>
      <c r="C80" s="1">
        <v>200000</v>
      </c>
      <c r="D80" s="1">
        <v>0</v>
      </c>
      <c r="E80" s="1">
        <v>200000</v>
      </c>
      <c r="F80" s="1">
        <v>200000</v>
      </c>
      <c r="G80" s="2">
        <v>1</v>
      </c>
      <c r="H80" s="3">
        <v>0</v>
      </c>
      <c r="I80" s="3">
        <v>1</v>
      </c>
      <c r="J80" s="3">
        <v>1</v>
      </c>
      <c r="K80" t="s">
        <v>36</v>
      </c>
    </row>
    <row r="81" spans="1:11" ht="30" x14ac:dyDescent="0.25">
      <c r="A81" s="4" t="s">
        <v>318</v>
      </c>
      <c r="B81" s="1">
        <v>522744.6</v>
      </c>
      <c r="C81" s="1">
        <v>522744.6</v>
      </c>
      <c r="D81" s="1">
        <v>0</v>
      </c>
      <c r="E81" s="1">
        <v>522744.6</v>
      </c>
      <c r="F81" s="1">
        <v>522744.6</v>
      </c>
      <c r="G81" s="2">
        <v>1</v>
      </c>
      <c r="H81" s="3">
        <v>0</v>
      </c>
      <c r="I81" s="3">
        <v>1</v>
      </c>
      <c r="J81" s="3">
        <v>0</v>
      </c>
      <c r="K81" t="s">
        <v>39</v>
      </c>
    </row>
    <row r="82" spans="1:11" ht="30" x14ac:dyDescent="0.25">
      <c r="A82" s="4" t="s">
        <v>319</v>
      </c>
      <c r="B82" s="1">
        <v>150000</v>
      </c>
      <c r="C82" s="1">
        <v>150000</v>
      </c>
      <c r="D82" s="1">
        <v>0</v>
      </c>
      <c r="E82" s="1">
        <v>0</v>
      </c>
      <c r="F82" s="1">
        <v>0</v>
      </c>
      <c r="G82" s="2">
        <v>0</v>
      </c>
      <c r="H82" s="3">
        <v>0</v>
      </c>
      <c r="I82" s="3">
        <v>0</v>
      </c>
      <c r="J82" s="3">
        <v>0</v>
      </c>
      <c r="K82" t="s">
        <v>39</v>
      </c>
    </row>
    <row r="83" spans="1:11" x14ac:dyDescent="0.25">
      <c r="A83" s="4" t="s">
        <v>58</v>
      </c>
      <c r="B83" s="1">
        <v>2970523.76</v>
      </c>
      <c r="C83" s="1">
        <v>52864000</v>
      </c>
      <c r="D83" s="1">
        <v>2956279</v>
      </c>
      <c r="E83" s="1">
        <v>0</v>
      </c>
      <c r="F83" s="1">
        <v>2956279</v>
      </c>
      <c r="G83" s="2">
        <v>5.5922347911622303E-2</v>
      </c>
      <c r="H83" s="3">
        <v>0</v>
      </c>
      <c r="I83" s="3">
        <v>0</v>
      </c>
      <c r="J83" s="3">
        <v>0.4</v>
      </c>
      <c r="K83" t="s">
        <v>37</v>
      </c>
    </row>
    <row r="84" spans="1:11" ht="30" x14ac:dyDescent="0.25">
      <c r="A84" s="4" t="s">
        <v>320</v>
      </c>
      <c r="B84" s="1">
        <v>401200</v>
      </c>
      <c r="C84" s="1">
        <v>401200</v>
      </c>
      <c r="D84" s="1">
        <v>0</v>
      </c>
      <c r="E84" s="1">
        <v>0</v>
      </c>
      <c r="F84" s="1">
        <v>0</v>
      </c>
      <c r="G84" s="2">
        <v>0</v>
      </c>
      <c r="H84" s="3">
        <v>0</v>
      </c>
      <c r="I84" s="3">
        <v>0</v>
      </c>
      <c r="J84" s="3">
        <v>0</v>
      </c>
      <c r="K84" t="s">
        <v>33</v>
      </c>
    </row>
    <row r="85" spans="1:11" ht="30" x14ac:dyDescent="0.25">
      <c r="A85" s="4" t="s">
        <v>321</v>
      </c>
      <c r="B85" s="1">
        <v>308088.07</v>
      </c>
      <c r="C85" s="1">
        <v>308088.07</v>
      </c>
      <c r="D85" s="1">
        <v>0</v>
      </c>
      <c r="E85" s="1">
        <v>0</v>
      </c>
      <c r="F85" s="1">
        <v>0</v>
      </c>
      <c r="G85" s="2">
        <v>0</v>
      </c>
      <c r="H85" s="3">
        <v>0</v>
      </c>
      <c r="I85" s="3">
        <v>0</v>
      </c>
      <c r="J85" s="3">
        <v>0</v>
      </c>
      <c r="K85" t="s">
        <v>35</v>
      </c>
    </row>
    <row r="86" spans="1:11" ht="30" x14ac:dyDescent="0.25">
      <c r="A86" s="4" t="s">
        <v>322</v>
      </c>
      <c r="B86" s="1">
        <v>500000</v>
      </c>
      <c r="C86" s="1">
        <v>500000</v>
      </c>
      <c r="D86" s="1">
        <v>0</v>
      </c>
      <c r="E86" s="1">
        <v>500000</v>
      </c>
      <c r="F86" s="1">
        <v>500000</v>
      </c>
      <c r="G86" s="2">
        <v>1</v>
      </c>
      <c r="H86" s="3">
        <v>0</v>
      </c>
      <c r="I86" s="3">
        <v>1</v>
      </c>
      <c r="J86" s="3">
        <v>1</v>
      </c>
      <c r="K86" t="s">
        <v>35</v>
      </c>
    </row>
    <row r="87" spans="1:11" x14ac:dyDescent="0.25">
      <c r="A87" s="4" t="s">
        <v>323</v>
      </c>
      <c r="B87" s="1">
        <v>30000</v>
      </c>
      <c r="C87" s="1">
        <v>30000</v>
      </c>
      <c r="D87" s="1">
        <v>0</v>
      </c>
      <c r="E87" s="1">
        <v>0</v>
      </c>
      <c r="F87" s="1">
        <v>0</v>
      </c>
      <c r="G87" s="2">
        <v>0</v>
      </c>
      <c r="H87" s="3">
        <v>0</v>
      </c>
      <c r="I87" s="3">
        <v>0</v>
      </c>
      <c r="J87" s="3">
        <v>0</v>
      </c>
      <c r="K87" t="s">
        <v>36</v>
      </c>
    </row>
    <row r="88" spans="1:11" ht="30" x14ac:dyDescent="0.25">
      <c r="A88" s="4" t="s">
        <v>324</v>
      </c>
      <c r="B88" s="1">
        <v>643970</v>
      </c>
      <c r="C88" s="1">
        <v>643970</v>
      </c>
      <c r="D88" s="1">
        <v>0</v>
      </c>
      <c r="E88" s="1">
        <v>337657</v>
      </c>
      <c r="F88" s="1">
        <v>337657</v>
      </c>
      <c r="G88" s="2">
        <v>0.52433653741633901</v>
      </c>
      <c r="H88" s="3">
        <v>0</v>
      </c>
      <c r="I88" s="3">
        <v>0.52433653741633901</v>
      </c>
      <c r="J88" s="3">
        <v>0</v>
      </c>
      <c r="K88" t="s">
        <v>33</v>
      </c>
    </row>
    <row r="89" spans="1:11" ht="30" x14ac:dyDescent="0.25">
      <c r="A89" s="4" t="s">
        <v>325</v>
      </c>
      <c r="B89" s="1">
        <v>400000</v>
      </c>
      <c r="C89" s="1">
        <v>400000</v>
      </c>
      <c r="D89" s="1">
        <v>0</v>
      </c>
      <c r="E89" s="1">
        <v>0</v>
      </c>
      <c r="F89" s="1">
        <v>0</v>
      </c>
      <c r="G89" s="2">
        <v>0</v>
      </c>
      <c r="H89" s="3">
        <v>0</v>
      </c>
      <c r="I89" s="3">
        <v>0</v>
      </c>
      <c r="J89" s="3">
        <v>0</v>
      </c>
      <c r="K89" t="s">
        <v>39</v>
      </c>
    </row>
    <row r="90" spans="1:11" ht="30" x14ac:dyDescent="0.25">
      <c r="A90" s="4" t="s">
        <v>326</v>
      </c>
      <c r="B90" s="1">
        <v>500000</v>
      </c>
      <c r="C90" s="1">
        <v>500000</v>
      </c>
      <c r="D90" s="1">
        <v>0</v>
      </c>
      <c r="E90" s="1">
        <v>0</v>
      </c>
      <c r="F90" s="1">
        <v>0</v>
      </c>
      <c r="G90" s="2">
        <v>0</v>
      </c>
      <c r="H90" s="3">
        <v>0</v>
      </c>
      <c r="I90" s="3">
        <v>0</v>
      </c>
      <c r="J90" s="3">
        <v>0</v>
      </c>
      <c r="K90" t="s">
        <v>39</v>
      </c>
    </row>
    <row r="91" spans="1:11" ht="30" x14ac:dyDescent="0.25">
      <c r="A91" s="4" t="s">
        <v>327</v>
      </c>
      <c r="B91" s="1">
        <v>366980</v>
      </c>
      <c r="C91" s="1">
        <v>366980</v>
      </c>
      <c r="D91" s="1">
        <v>0</v>
      </c>
      <c r="E91" s="1">
        <v>0</v>
      </c>
      <c r="F91" s="1">
        <v>0</v>
      </c>
      <c r="G91" s="2">
        <v>0</v>
      </c>
      <c r="H91" s="3">
        <v>0</v>
      </c>
      <c r="I91" s="3">
        <v>0</v>
      </c>
      <c r="J91" s="3">
        <v>0</v>
      </c>
      <c r="K91" t="s">
        <v>33</v>
      </c>
    </row>
    <row r="92" spans="1:11" ht="30" x14ac:dyDescent="0.25">
      <c r="A92" s="4" t="s">
        <v>328</v>
      </c>
      <c r="B92" s="1">
        <v>226695.26</v>
      </c>
      <c r="C92" s="1">
        <v>226695.26</v>
      </c>
      <c r="D92" s="1">
        <v>0</v>
      </c>
      <c r="E92" s="1">
        <v>0</v>
      </c>
      <c r="F92" s="1">
        <v>0</v>
      </c>
      <c r="G92" s="2">
        <v>0</v>
      </c>
      <c r="H92" s="3">
        <v>0</v>
      </c>
      <c r="I92" s="3">
        <v>0</v>
      </c>
      <c r="J92" s="3">
        <v>0</v>
      </c>
      <c r="K92" t="s">
        <v>39</v>
      </c>
    </row>
    <row r="93" spans="1:11" ht="30" x14ac:dyDescent="0.25">
      <c r="A93" s="4" t="s">
        <v>329</v>
      </c>
      <c r="B93" s="1">
        <v>650000</v>
      </c>
      <c r="C93" s="1">
        <v>650000</v>
      </c>
      <c r="D93" s="1">
        <v>0</v>
      </c>
      <c r="E93" s="1">
        <v>650000</v>
      </c>
      <c r="F93" s="1">
        <v>650000</v>
      </c>
      <c r="G93" s="2">
        <v>1</v>
      </c>
      <c r="H93" s="3">
        <v>0</v>
      </c>
      <c r="I93" s="3">
        <v>1</v>
      </c>
      <c r="J93" s="3">
        <v>1</v>
      </c>
      <c r="K93" t="s">
        <v>35</v>
      </c>
    </row>
    <row r="94" spans="1:11" ht="30" x14ac:dyDescent="0.25">
      <c r="A94" s="4" t="s">
        <v>330</v>
      </c>
      <c r="B94" s="1">
        <v>400000</v>
      </c>
      <c r="C94" s="1">
        <v>400000</v>
      </c>
      <c r="D94" s="1">
        <v>0</v>
      </c>
      <c r="E94" s="1">
        <v>400000</v>
      </c>
      <c r="F94" s="1">
        <v>400000</v>
      </c>
      <c r="G94" s="2">
        <v>1</v>
      </c>
      <c r="H94" s="3">
        <v>0</v>
      </c>
      <c r="I94" s="3">
        <v>1</v>
      </c>
      <c r="J94" s="3">
        <v>1</v>
      </c>
      <c r="K94" t="s">
        <v>35</v>
      </c>
    </row>
    <row r="95" spans="1:11" ht="30" x14ac:dyDescent="0.25">
      <c r="A95" s="4" t="s">
        <v>331</v>
      </c>
      <c r="B95" s="1">
        <v>750000</v>
      </c>
      <c r="C95" s="1">
        <v>750000</v>
      </c>
      <c r="D95" s="1">
        <v>0</v>
      </c>
      <c r="E95" s="1">
        <v>0</v>
      </c>
      <c r="F95" s="1">
        <v>0</v>
      </c>
      <c r="G95" s="2">
        <v>0</v>
      </c>
      <c r="H95" s="3">
        <v>0</v>
      </c>
      <c r="I95" s="3">
        <v>0</v>
      </c>
      <c r="J95" s="3">
        <v>0</v>
      </c>
      <c r="K95" t="s">
        <v>35</v>
      </c>
    </row>
    <row r="96" spans="1:11" ht="30" x14ac:dyDescent="0.25">
      <c r="A96" s="4" t="s">
        <v>332</v>
      </c>
      <c r="B96" s="1">
        <v>300000</v>
      </c>
      <c r="C96" s="1">
        <v>300000</v>
      </c>
      <c r="D96" s="1">
        <v>0</v>
      </c>
      <c r="E96" s="1">
        <v>0</v>
      </c>
      <c r="F96" s="1">
        <v>0</v>
      </c>
      <c r="G96" s="2">
        <v>0</v>
      </c>
      <c r="H96" s="3">
        <v>0</v>
      </c>
      <c r="I96" s="3">
        <v>0</v>
      </c>
      <c r="J96" s="3">
        <v>0</v>
      </c>
      <c r="K96" t="s">
        <v>35</v>
      </c>
    </row>
    <row r="97" spans="1:11" ht="30" x14ac:dyDescent="0.25">
      <c r="A97" s="4" t="s">
        <v>333</v>
      </c>
      <c r="B97" s="1">
        <v>300000</v>
      </c>
      <c r="C97" s="1">
        <v>300000</v>
      </c>
      <c r="D97" s="1">
        <v>0</v>
      </c>
      <c r="E97" s="1">
        <v>0</v>
      </c>
      <c r="F97" s="1">
        <v>0</v>
      </c>
      <c r="G97" s="2">
        <v>0</v>
      </c>
      <c r="H97" s="3">
        <v>0</v>
      </c>
      <c r="I97" s="3">
        <v>0</v>
      </c>
      <c r="J97" s="3">
        <v>0</v>
      </c>
      <c r="K97" t="s">
        <v>35</v>
      </c>
    </row>
    <row r="98" spans="1:11" ht="30" x14ac:dyDescent="0.25">
      <c r="A98" s="4" t="s">
        <v>334</v>
      </c>
      <c r="B98" s="1">
        <v>310000</v>
      </c>
      <c r="C98" s="1">
        <v>310000</v>
      </c>
      <c r="D98" s="1">
        <v>0</v>
      </c>
      <c r="E98" s="1">
        <v>0</v>
      </c>
      <c r="F98" s="1">
        <v>0</v>
      </c>
      <c r="G98" s="2">
        <v>0</v>
      </c>
      <c r="H98" s="3">
        <v>0</v>
      </c>
      <c r="I98" s="3">
        <v>0</v>
      </c>
      <c r="J98" s="3">
        <v>0</v>
      </c>
      <c r="K98" t="s">
        <v>37</v>
      </c>
    </row>
    <row r="99" spans="1:11" ht="30" x14ac:dyDescent="0.25">
      <c r="A99" s="4" t="s">
        <v>335</v>
      </c>
      <c r="B99" s="1">
        <v>1250000</v>
      </c>
      <c r="C99" s="1">
        <v>1250000</v>
      </c>
      <c r="D99" s="1">
        <v>0</v>
      </c>
      <c r="E99" s="1">
        <v>0</v>
      </c>
      <c r="F99" s="1">
        <v>0</v>
      </c>
      <c r="G99" s="2">
        <v>0</v>
      </c>
      <c r="H99" s="3">
        <v>0</v>
      </c>
      <c r="I99" s="3">
        <v>0</v>
      </c>
      <c r="J99" s="3">
        <v>0</v>
      </c>
      <c r="K99" t="s">
        <v>37</v>
      </c>
    </row>
    <row r="100" spans="1:11" ht="30" x14ac:dyDescent="0.25">
      <c r="A100" s="4" t="s">
        <v>336</v>
      </c>
      <c r="B100" s="1">
        <v>751038.3</v>
      </c>
      <c r="C100" s="1">
        <v>751038.3</v>
      </c>
      <c r="D100" s="1">
        <v>0</v>
      </c>
      <c r="E100" s="1">
        <v>0</v>
      </c>
      <c r="F100" s="1">
        <v>0</v>
      </c>
      <c r="G100" s="2">
        <v>0</v>
      </c>
      <c r="H100" s="3">
        <v>0</v>
      </c>
      <c r="I100" s="3">
        <v>0</v>
      </c>
      <c r="J100" s="3">
        <v>0</v>
      </c>
      <c r="K100" t="s">
        <v>37</v>
      </c>
    </row>
    <row r="101" spans="1:11" ht="30" x14ac:dyDescent="0.25">
      <c r="A101" s="4" t="s">
        <v>337</v>
      </c>
      <c r="B101" s="1">
        <v>310000</v>
      </c>
      <c r="C101" s="1">
        <v>310000</v>
      </c>
      <c r="D101" s="1">
        <v>0</v>
      </c>
      <c r="E101" s="1">
        <v>0</v>
      </c>
      <c r="F101" s="1">
        <v>0</v>
      </c>
      <c r="G101" s="2">
        <v>0</v>
      </c>
      <c r="H101" s="3">
        <v>0</v>
      </c>
      <c r="I101" s="3">
        <v>0</v>
      </c>
      <c r="J101" s="3">
        <v>0</v>
      </c>
      <c r="K101" t="s">
        <v>37</v>
      </c>
    </row>
    <row r="102" spans="1:11" ht="30" x14ac:dyDescent="0.25">
      <c r="A102" s="4" t="s">
        <v>338</v>
      </c>
      <c r="B102" s="1">
        <v>310000</v>
      </c>
      <c r="C102" s="1">
        <v>310000</v>
      </c>
      <c r="D102" s="1">
        <v>0</v>
      </c>
      <c r="E102" s="1">
        <v>0</v>
      </c>
      <c r="F102" s="1">
        <v>0</v>
      </c>
      <c r="G102" s="2">
        <v>0</v>
      </c>
      <c r="H102" s="3">
        <v>0</v>
      </c>
      <c r="I102" s="3">
        <v>0</v>
      </c>
      <c r="J102" s="3">
        <v>0</v>
      </c>
      <c r="K102" t="s">
        <v>37</v>
      </c>
    </row>
    <row r="103" spans="1:11" x14ac:dyDescent="0.25">
      <c r="A103" s="4" t="s">
        <v>339</v>
      </c>
      <c r="B103" s="1">
        <v>250000</v>
      </c>
      <c r="C103" s="1">
        <v>250000</v>
      </c>
      <c r="D103" s="1">
        <v>0</v>
      </c>
      <c r="E103" s="1">
        <v>0</v>
      </c>
      <c r="F103" s="1">
        <v>0</v>
      </c>
      <c r="G103" s="2">
        <v>0</v>
      </c>
      <c r="H103" s="3">
        <v>0</v>
      </c>
      <c r="I103" s="3">
        <v>0</v>
      </c>
      <c r="J103" s="3">
        <v>0</v>
      </c>
      <c r="K103" t="s">
        <v>37</v>
      </c>
    </row>
    <row r="104" spans="1:11" x14ac:dyDescent="0.25">
      <c r="A104" s="4" t="s">
        <v>340</v>
      </c>
      <c r="B104" s="1">
        <v>150000</v>
      </c>
      <c r="C104" s="1">
        <v>150000</v>
      </c>
      <c r="D104" s="1">
        <v>0</v>
      </c>
      <c r="E104" s="1">
        <v>0</v>
      </c>
      <c r="F104" s="1">
        <v>0</v>
      </c>
      <c r="G104" s="2">
        <v>0</v>
      </c>
      <c r="H104" s="3">
        <v>0</v>
      </c>
      <c r="I104" s="3">
        <v>0</v>
      </c>
      <c r="J104" s="3">
        <v>0</v>
      </c>
      <c r="K104" t="s">
        <v>37</v>
      </c>
    </row>
    <row r="105" spans="1:11" ht="30" x14ac:dyDescent="0.25">
      <c r="A105" s="4" t="s">
        <v>341</v>
      </c>
      <c r="B105" s="1">
        <v>400000</v>
      </c>
      <c r="C105" s="1">
        <v>400000</v>
      </c>
      <c r="D105" s="1">
        <v>0</v>
      </c>
      <c r="E105" s="1">
        <v>0</v>
      </c>
      <c r="F105" s="1">
        <v>0</v>
      </c>
      <c r="G105" s="2">
        <v>0</v>
      </c>
      <c r="H105" s="3">
        <v>0</v>
      </c>
      <c r="I105" s="3">
        <v>0</v>
      </c>
      <c r="J105" s="3">
        <v>0</v>
      </c>
      <c r="K105" t="s">
        <v>37</v>
      </c>
    </row>
    <row r="106" spans="1:11" ht="30" x14ac:dyDescent="0.25">
      <c r="A106" s="4" t="s">
        <v>342</v>
      </c>
      <c r="B106" s="1">
        <v>250000</v>
      </c>
      <c r="C106" s="1">
        <v>250000</v>
      </c>
      <c r="D106" s="1">
        <v>0</v>
      </c>
      <c r="E106" s="1">
        <v>0</v>
      </c>
      <c r="F106" s="1">
        <v>0</v>
      </c>
      <c r="G106" s="2">
        <v>0</v>
      </c>
      <c r="H106" s="3">
        <v>0</v>
      </c>
      <c r="I106" s="3">
        <v>0</v>
      </c>
      <c r="J106" s="3">
        <v>0</v>
      </c>
      <c r="K106" t="s">
        <v>36</v>
      </c>
    </row>
    <row r="107" spans="1:11" ht="30" x14ac:dyDescent="0.25">
      <c r="A107" s="4" t="s">
        <v>343</v>
      </c>
      <c r="B107" s="1">
        <v>350000</v>
      </c>
      <c r="C107" s="1">
        <v>350000</v>
      </c>
      <c r="D107" s="1">
        <v>0</v>
      </c>
      <c r="E107" s="1">
        <v>0</v>
      </c>
      <c r="F107" s="1">
        <v>0</v>
      </c>
      <c r="G107" s="2">
        <v>0</v>
      </c>
      <c r="H107" s="3">
        <v>0</v>
      </c>
      <c r="I107" s="3">
        <v>0</v>
      </c>
      <c r="J107" s="3">
        <v>0</v>
      </c>
      <c r="K107" t="s">
        <v>36</v>
      </c>
    </row>
    <row r="108" spans="1:11" x14ac:dyDescent="0.25">
      <c r="A108" s="4" t="s">
        <v>344</v>
      </c>
      <c r="B108" s="1">
        <v>100000</v>
      </c>
      <c r="C108" s="1">
        <v>100000</v>
      </c>
      <c r="D108" s="1">
        <v>0</v>
      </c>
      <c r="E108" s="1">
        <v>0</v>
      </c>
      <c r="F108" s="1">
        <v>0</v>
      </c>
      <c r="G108" s="2">
        <v>0</v>
      </c>
      <c r="H108" s="3">
        <v>0</v>
      </c>
      <c r="I108" s="3">
        <v>0</v>
      </c>
      <c r="J108" s="3">
        <v>0</v>
      </c>
      <c r="K108" t="s">
        <v>36</v>
      </c>
    </row>
    <row r="109" spans="1:11" ht="30" x14ac:dyDescent="0.25">
      <c r="A109" s="4" t="s">
        <v>345</v>
      </c>
      <c r="B109" s="1">
        <v>100000</v>
      </c>
      <c r="C109" s="1">
        <v>100000</v>
      </c>
      <c r="D109" s="1">
        <v>0</v>
      </c>
      <c r="E109" s="1">
        <v>0</v>
      </c>
      <c r="F109" s="1">
        <v>0</v>
      </c>
      <c r="G109" s="2">
        <v>0</v>
      </c>
      <c r="H109" s="3">
        <v>0</v>
      </c>
      <c r="I109" s="3">
        <v>0</v>
      </c>
      <c r="J109" s="3">
        <v>0</v>
      </c>
      <c r="K109" t="s">
        <v>36</v>
      </c>
    </row>
    <row r="110" spans="1:11" ht="30" x14ac:dyDescent="0.25">
      <c r="A110" s="4" t="s">
        <v>346</v>
      </c>
      <c r="B110" s="1">
        <v>200000</v>
      </c>
      <c r="C110" s="1">
        <v>200000</v>
      </c>
      <c r="D110" s="1">
        <v>0</v>
      </c>
      <c r="E110" s="1">
        <v>0</v>
      </c>
      <c r="F110" s="1">
        <v>0</v>
      </c>
      <c r="G110" s="2">
        <v>0</v>
      </c>
      <c r="H110" s="3">
        <v>0</v>
      </c>
      <c r="I110" s="3">
        <v>0</v>
      </c>
      <c r="J110" s="3">
        <v>0</v>
      </c>
      <c r="K110" t="s">
        <v>36</v>
      </c>
    </row>
    <row r="111" spans="1:11" ht="30" x14ac:dyDescent="0.25">
      <c r="A111" s="4" t="s">
        <v>347</v>
      </c>
      <c r="B111" s="1">
        <v>400000</v>
      </c>
      <c r="C111" s="1">
        <v>400000</v>
      </c>
      <c r="D111" s="1">
        <v>0</v>
      </c>
      <c r="E111" s="1">
        <v>0</v>
      </c>
      <c r="F111" s="1">
        <v>0</v>
      </c>
      <c r="G111" s="2">
        <v>0</v>
      </c>
      <c r="H111" s="3">
        <v>0</v>
      </c>
      <c r="I111" s="3">
        <v>0</v>
      </c>
      <c r="J111" s="3">
        <v>0</v>
      </c>
      <c r="K111" t="s">
        <v>36</v>
      </c>
    </row>
    <row r="112" spans="1:11" ht="30" x14ac:dyDescent="0.25">
      <c r="A112" s="4" t="s">
        <v>348</v>
      </c>
      <c r="B112" s="1">
        <v>70729.2</v>
      </c>
      <c r="C112" s="1">
        <v>70729.2</v>
      </c>
      <c r="D112" s="1">
        <v>0</v>
      </c>
      <c r="E112" s="1">
        <v>70729.2</v>
      </c>
      <c r="F112" s="1">
        <v>70729.2</v>
      </c>
      <c r="G112" s="2">
        <v>1</v>
      </c>
      <c r="H112" s="3">
        <v>0</v>
      </c>
      <c r="I112" s="3">
        <v>1</v>
      </c>
      <c r="J112" s="3">
        <v>1</v>
      </c>
      <c r="K112" t="s">
        <v>36</v>
      </c>
    </row>
    <row r="113" spans="1:11" ht="30" x14ac:dyDescent="0.25">
      <c r="A113" s="4" t="s">
        <v>349</v>
      </c>
      <c r="B113" s="1">
        <v>200000</v>
      </c>
      <c r="C113" s="1">
        <v>200000</v>
      </c>
      <c r="D113" s="1">
        <v>0</v>
      </c>
      <c r="E113" s="1">
        <v>0</v>
      </c>
      <c r="F113" s="1">
        <v>0</v>
      </c>
      <c r="G113" s="2">
        <v>0</v>
      </c>
      <c r="H113" s="3">
        <v>0</v>
      </c>
      <c r="I113" s="3">
        <v>0</v>
      </c>
      <c r="J113" s="3">
        <v>0</v>
      </c>
      <c r="K113" t="s">
        <v>36</v>
      </c>
    </row>
    <row r="114" spans="1:11" ht="30" x14ac:dyDescent="0.25">
      <c r="A114" s="4" t="s">
        <v>350</v>
      </c>
      <c r="B114" s="1">
        <v>100000</v>
      </c>
      <c r="C114" s="1">
        <v>100000</v>
      </c>
      <c r="D114" s="1">
        <v>0</v>
      </c>
      <c r="E114" s="1">
        <v>0</v>
      </c>
      <c r="F114" s="1">
        <v>0</v>
      </c>
      <c r="G114" s="2">
        <v>0</v>
      </c>
      <c r="H114" s="3">
        <v>0</v>
      </c>
      <c r="I114" s="3">
        <v>0</v>
      </c>
      <c r="J114" s="3">
        <v>0</v>
      </c>
      <c r="K114" t="s">
        <v>36</v>
      </c>
    </row>
    <row r="115" spans="1:11" ht="30" x14ac:dyDescent="0.25">
      <c r="A115" s="4" t="s">
        <v>351</v>
      </c>
      <c r="B115" s="1">
        <v>500000</v>
      </c>
      <c r="C115" s="1">
        <v>500000</v>
      </c>
      <c r="D115" s="1">
        <v>0</v>
      </c>
      <c r="E115" s="1">
        <v>0</v>
      </c>
      <c r="F115" s="1">
        <v>0</v>
      </c>
      <c r="G115" s="2">
        <v>0</v>
      </c>
      <c r="H115" s="3">
        <v>0</v>
      </c>
      <c r="I115" s="3">
        <v>0</v>
      </c>
      <c r="J115" s="3">
        <v>0</v>
      </c>
      <c r="K115" t="s">
        <v>36</v>
      </c>
    </row>
    <row r="116" spans="1:11" ht="30" x14ac:dyDescent="0.25">
      <c r="A116" s="4" t="s">
        <v>352</v>
      </c>
      <c r="B116" s="1">
        <v>400000</v>
      </c>
      <c r="C116" s="1">
        <v>400000</v>
      </c>
      <c r="D116" s="1">
        <v>0</v>
      </c>
      <c r="E116" s="1">
        <v>0</v>
      </c>
      <c r="F116" s="1">
        <v>0</v>
      </c>
      <c r="G116" s="2">
        <v>0</v>
      </c>
      <c r="H116" s="3">
        <v>0</v>
      </c>
      <c r="I116" s="3">
        <v>0</v>
      </c>
      <c r="J116" s="3">
        <v>0</v>
      </c>
      <c r="K116" t="s">
        <v>36</v>
      </c>
    </row>
    <row r="117" spans="1:11" ht="30" x14ac:dyDescent="0.25">
      <c r="A117" s="4" t="s">
        <v>353</v>
      </c>
      <c r="B117" s="1">
        <v>500000</v>
      </c>
      <c r="C117" s="1">
        <v>500000</v>
      </c>
      <c r="D117" s="1">
        <v>0</v>
      </c>
      <c r="E117" s="1">
        <v>0</v>
      </c>
      <c r="F117" s="1">
        <v>0</v>
      </c>
      <c r="G117" s="2">
        <v>0</v>
      </c>
      <c r="H117" s="3">
        <v>0</v>
      </c>
      <c r="I117" s="3">
        <v>0</v>
      </c>
      <c r="J117" s="3">
        <v>0</v>
      </c>
      <c r="K117" t="s">
        <v>36</v>
      </c>
    </row>
    <row r="118" spans="1:11" ht="30" x14ac:dyDescent="0.25">
      <c r="A118" s="4" t="s">
        <v>354</v>
      </c>
      <c r="B118" s="1">
        <v>375000</v>
      </c>
      <c r="C118" s="1">
        <v>375000</v>
      </c>
      <c r="D118" s="1">
        <v>0</v>
      </c>
      <c r="E118" s="1">
        <v>0</v>
      </c>
      <c r="F118" s="1">
        <v>0</v>
      </c>
      <c r="G118" s="2">
        <v>0</v>
      </c>
      <c r="H118" s="3">
        <v>0</v>
      </c>
      <c r="I118" s="3">
        <v>0</v>
      </c>
      <c r="J118" s="3">
        <v>0</v>
      </c>
      <c r="K118" t="s">
        <v>36</v>
      </c>
    </row>
    <row r="119" spans="1:11" x14ac:dyDescent="0.25">
      <c r="A119" s="4" t="s">
        <v>355</v>
      </c>
      <c r="B119" s="1">
        <v>190000</v>
      </c>
      <c r="C119" s="1">
        <v>190000</v>
      </c>
      <c r="D119" s="1">
        <v>0</v>
      </c>
      <c r="E119" s="1">
        <v>0</v>
      </c>
      <c r="F119" s="1">
        <v>0</v>
      </c>
      <c r="G119" s="2">
        <v>0</v>
      </c>
      <c r="H119" s="3">
        <v>0</v>
      </c>
      <c r="I119" s="3">
        <v>0</v>
      </c>
      <c r="J119" s="3">
        <v>0</v>
      </c>
      <c r="K119" t="s">
        <v>36</v>
      </c>
    </row>
    <row r="120" spans="1:11" ht="30" x14ac:dyDescent="0.25">
      <c r="A120" s="4" t="s">
        <v>356</v>
      </c>
      <c r="B120" s="1">
        <v>654782</v>
      </c>
      <c r="C120" s="1">
        <v>654782</v>
      </c>
      <c r="D120" s="1">
        <v>0</v>
      </c>
      <c r="E120" s="1">
        <v>0</v>
      </c>
      <c r="F120" s="1">
        <v>0</v>
      </c>
      <c r="G120" s="2">
        <v>0</v>
      </c>
      <c r="H120" s="3">
        <v>0</v>
      </c>
      <c r="I120" s="3">
        <v>0</v>
      </c>
      <c r="J120" s="3">
        <v>0</v>
      </c>
      <c r="K120" t="s">
        <v>36</v>
      </c>
    </row>
    <row r="121" spans="1:11" ht="30" x14ac:dyDescent="0.25">
      <c r="A121" s="4" t="s">
        <v>357</v>
      </c>
      <c r="B121" s="1">
        <v>200000</v>
      </c>
      <c r="C121" s="1">
        <v>200000</v>
      </c>
      <c r="D121" s="1">
        <v>0</v>
      </c>
      <c r="E121" s="1">
        <v>0</v>
      </c>
      <c r="F121" s="1">
        <v>0</v>
      </c>
      <c r="G121" s="2">
        <v>0</v>
      </c>
      <c r="H121" s="3">
        <v>0</v>
      </c>
      <c r="I121" s="3">
        <v>0</v>
      </c>
      <c r="J121" s="3">
        <v>0</v>
      </c>
      <c r="K121" t="s">
        <v>36</v>
      </c>
    </row>
    <row r="122" spans="1:11" ht="30" x14ac:dyDescent="0.25">
      <c r="A122" s="4" t="s">
        <v>358</v>
      </c>
      <c r="B122" s="1">
        <v>400000</v>
      </c>
      <c r="C122" s="1">
        <v>400000</v>
      </c>
      <c r="D122" s="1">
        <v>0</v>
      </c>
      <c r="E122" s="1">
        <v>0</v>
      </c>
      <c r="F122" s="1">
        <v>0</v>
      </c>
      <c r="G122" s="2">
        <v>0</v>
      </c>
      <c r="H122" s="3">
        <v>0</v>
      </c>
      <c r="I122" s="3">
        <v>0</v>
      </c>
      <c r="J122" s="3">
        <v>0</v>
      </c>
      <c r="K122" t="s">
        <v>36</v>
      </c>
    </row>
    <row r="123" spans="1:11" ht="30" x14ac:dyDescent="0.25">
      <c r="A123" s="4" t="s">
        <v>359</v>
      </c>
      <c r="B123" s="1">
        <v>400000</v>
      </c>
      <c r="C123" s="1">
        <v>400000</v>
      </c>
      <c r="D123" s="1">
        <v>0</v>
      </c>
      <c r="E123" s="1">
        <v>0</v>
      </c>
      <c r="F123" s="1">
        <v>0</v>
      </c>
      <c r="G123" s="2">
        <v>0</v>
      </c>
      <c r="H123" s="3">
        <v>0</v>
      </c>
      <c r="I123" s="3">
        <v>0</v>
      </c>
      <c r="J123" s="3">
        <v>0</v>
      </c>
      <c r="K123" t="s">
        <v>36</v>
      </c>
    </row>
    <row r="124" spans="1:11" x14ac:dyDescent="0.25">
      <c r="A124" s="4" t="s">
        <v>360</v>
      </c>
      <c r="B124" s="1">
        <v>171100</v>
      </c>
      <c r="C124" s="1">
        <v>171100</v>
      </c>
      <c r="D124" s="1">
        <v>0</v>
      </c>
      <c r="E124" s="1">
        <v>0</v>
      </c>
      <c r="F124" s="1">
        <v>0</v>
      </c>
      <c r="G124" s="2">
        <v>0</v>
      </c>
      <c r="H124" s="3">
        <v>0</v>
      </c>
      <c r="I124" s="3">
        <v>0</v>
      </c>
      <c r="J124" s="3">
        <v>0</v>
      </c>
      <c r="K124" t="s">
        <v>32</v>
      </c>
    </row>
    <row r="125" spans="1:11" ht="30" x14ac:dyDescent="0.25">
      <c r="A125" s="4" t="s">
        <v>361</v>
      </c>
      <c r="B125" s="1">
        <v>83999.95</v>
      </c>
      <c r="C125" s="1">
        <v>83999.95</v>
      </c>
      <c r="D125" s="1">
        <v>0</v>
      </c>
      <c r="E125" s="1">
        <v>0</v>
      </c>
      <c r="F125" s="1">
        <v>0</v>
      </c>
      <c r="G125" s="2">
        <v>0</v>
      </c>
      <c r="H125" s="3">
        <v>0</v>
      </c>
      <c r="I125" s="3">
        <v>0</v>
      </c>
      <c r="J125" s="3">
        <v>0</v>
      </c>
      <c r="K125" t="s">
        <v>32</v>
      </c>
    </row>
    <row r="126" spans="1:11" ht="30" x14ac:dyDescent="0.25">
      <c r="A126" s="4" t="s">
        <v>362</v>
      </c>
      <c r="B126" s="1">
        <v>1239000</v>
      </c>
      <c r="C126" s="1">
        <v>1239000</v>
      </c>
      <c r="D126" s="1">
        <v>0</v>
      </c>
      <c r="E126" s="1">
        <v>0</v>
      </c>
      <c r="F126" s="1">
        <v>0</v>
      </c>
      <c r="G126" s="2">
        <v>0</v>
      </c>
      <c r="H126" s="3">
        <v>0</v>
      </c>
      <c r="I126" s="3">
        <v>0</v>
      </c>
      <c r="J126" s="3">
        <v>0</v>
      </c>
      <c r="K126" t="s">
        <v>32</v>
      </c>
    </row>
    <row r="127" spans="1:11" ht="30" x14ac:dyDescent="0.25">
      <c r="A127" s="4" t="s">
        <v>363</v>
      </c>
      <c r="B127" s="1">
        <v>375830</v>
      </c>
      <c r="C127" s="1">
        <v>375830</v>
      </c>
      <c r="D127" s="1">
        <v>0</v>
      </c>
      <c r="E127" s="1">
        <v>0</v>
      </c>
      <c r="F127" s="1">
        <v>0</v>
      </c>
      <c r="G127" s="2">
        <v>0</v>
      </c>
      <c r="H127" s="3">
        <v>0</v>
      </c>
      <c r="I127" s="3">
        <v>0</v>
      </c>
      <c r="J127" s="3">
        <v>0</v>
      </c>
      <c r="K127" t="s">
        <v>33</v>
      </c>
    </row>
    <row r="128" spans="1:11" ht="30" x14ac:dyDescent="0.25">
      <c r="A128" s="4" t="s">
        <v>364</v>
      </c>
      <c r="B128" s="1">
        <v>691480</v>
      </c>
      <c r="C128" s="1">
        <v>691480</v>
      </c>
      <c r="D128" s="1">
        <v>0</v>
      </c>
      <c r="E128" s="1">
        <v>0</v>
      </c>
      <c r="F128" s="1">
        <v>0</v>
      </c>
      <c r="G128" s="2">
        <v>0</v>
      </c>
      <c r="H128" s="3">
        <v>0</v>
      </c>
      <c r="I128" s="3">
        <v>0</v>
      </c>
      <c r="J128" s="3">
        <v>0</v>
      </c>
      <c r="K128" t="s">
        <v>33</v>
      </c>
    </row>
    <row r="129" spans="1:11" ht="30" x14ac:dyDescent="0.25">
      <c r="A129" s="4" t="s">
        <v>365</v>
      </c>
      <c r="B129" s="1">
        <v>436010</v>
      </c>
      <c r="C129" s="1">
        <v>436010</v>
      </c>
      <c r="D129" s="1">
        <v>0</v>
      </c>
      <c r="E129" s="1">
        <v>0</v>
      </c>
      <c r="F129" s="1">
        <v>0</v>
      </c>
      <c r="G129" s="2">
        <v>0</v>
      </c>
      <c r="H129" s="3">
        <v>0</v>
      </c>
      <c r="I129" s="3">
        <v>0</v>
      </c>
      <c r="J129" s="3">
        <v>0</v>
      </c>
      <c r="K129" t="s">
        <v>33</v>
      </c>
    </row>
    <row r="130" spans="1:11" ht="30" x14ac:dyDescent="0.25">
      <c r="A130" s="4" t="s">
        <v>366</v>
      </c>
      <c r="B130" s="1">
        <v>802400</v>
      </c>
      <c r="C130" s="1">
        <v>802400</v>
      </c>
      <c r="D130" s="1">
        <v>0</v>
      </c>
      <c r="E130" s="1">
        <v>0</v>
      </c>
      <c r="F130" s="1">
        <v>0</v>
      </c>
      <c r="G130" s="2">
        <v>0</v>
      </c>
      <c r="H130" s="3">
        <v>0</v>
      </c>
      <c r="I130" s="3">
        <v>0</v>
      </c>
      <c r="J130" s="3">
        <v>0</v>
      </c>
      <c r="K130" t="s">
        <v>33</v>
      </c>
    </row>
    <row r="131" spans="1:11" ht="30" x14ac:dyDescent="0.25">
      <c r="A131" s="4" t="s">
        <v>367</v>
      </c>
      <c r="B131" s="1">
        <v>601800</v>
      </c>
      <c r="C131" s="1">
        <v>601800</v>
      </c>
      <c r="D131" s="1">
        <v>0</v>
      </c>
      <c r="E131" s="1">
        <v>0</v>
      </c>
      <c r="F131" s="1">
        <v>0</v>
      </c>
      <c r="G131" s="2">
        <v>0</v>
      </c>
      <c r="H131" s="3">
        <v>0</v>
      </c>
      <c r="I131" s="3">
        <v>0</v>
      </c>
      <c r="J131" s="3">
        <v>0</v>
      </c>
      <c r="K131" t="s">
        <v>33</v>
      </c>
    </row>
    <row r="132" spans="1:11" ht="30" x14ac:dyDescent="0.25">
      <c r="A132" s="4" t="s">
        <v>368</v>
      </c>
      <c r="B132" s="1">
        <v>105000</v>
      </c>
      <c r="C132" s="1">
        <v>105000</v>
      </c>
      <c r="D132" s="1">
        <v>0</v>
      </c>
      <c r="E132" s="1">
        <v>0</v>
      </c>
      <c r="F132" s="1">
        <v>0</v>
      </c>
      <c r="G132" s="2">
        <v>0</v>
      </c>
      <c r="H132" s="3">
        <v>0</v>
      </c>
      <c r="I132" s="3">
        <v>0</v>
      </c>
      <c r="J132" s="3">
        <v>0</v>
      </c>
      <c r="K132" t="s">
        <v>40</v>
      </c>
    </row>
    <row r="133" spans="1:11" ht="30" x14ac:dyDescent="0.25">
      <c r="A133" s="4" t="s">
        <v>369</v>
      </c>
      <c r="B133" s="1">
        <v>70000</v>
      </c>
      <c r="C133" s="1">
        <v>70000</v>
      </c>
      <c r="D133" s="1">
        <v>0</v>
      </c>
      <c r="E133" s="1">
        <v>0</v>
      </c>
      <c r="F133" s="1">
        <v>0</v>
      </c>
      <c r="G133" s="2">
        <v>0</v>
      </c>
      <c r="H133" s="3">
        <v>0</v>
      </c>
      <c r="I133" s="3">
        <v>0</v>
      </c>
      <c r="J133" s="3">
        <v>0</v>
      </c>
      <c r="K133" t="s">
        <v>40</v>
      </c>
    </row>
    <row r="134" spans="1:11" ht="30" x14ac:dyDescent="0.25">
      <c r="A134" s="4" t="s">
        <v>370</v>
      </c>
      <c r="B134" s="1">
        <v>150000</v>
      </c>
      <c r="C134" s="1">
        <v>150000</v>
      </c>
      <c r="D134" s="1">
        <v>0</v>
      </c>
      <c r="E134" s="1">
        <v>0</v>
      </c>
      <c r="F134" s="1">
        <v>0</v>
      </c>
      <c r="G134" s="2">
        <v>0</v>
      </c>
      <c r="H134" s="3">
        <v>0</v>
      </c>
      <c r="I134" s="3">
        <v>0</v>
      </c>
      <c r="J134" s="3">
        <v>0</v>
      </c>
      <c r="K134" t="s">
        <v>34</v>
      </c>
    </row>
    <row r="135" spans="1:11" ht="30" x14ac:dyDescent="0.25">
      <c r="A135" s="4" t="s">
        <v>371</v>
      </c>
      <c r="B135" s="1">
        <v>350000</v>
      </c>
      <c r="C135" s="1">
        <v>350000</v>
      </c>
      <c r="D135" s="1">
        <v>0</v>
      </c>
      <c r="E135" s="1">
        <v>0</v>
      </c>
      <c r="F135" s="1">
        <v>0</v>
      </c>
      <c r="G135" s="2">
        <v>0</v>
      </c>
      <c r="H135" s="3">
        <v>0</v>
      </c>
      <c r="I135" s="3">
        <v>0</v>
      </c>
      <c r="J135" s="3">
        <v>0</v>
      </c>
      <c r="K135" t="s">
        <v>34</v>
      </c>
    </row>
    <row r="136" spans="1:11" ht="30" x14ac:dyDescent="0.25">
      <c r="A136" s="4" t="s">
        <v>372</v>
      </c>
      <c r="B136" s="1">
        <v>350000</v>
      </c>
      <c r="C136" s="1">
        <v>350000</v>
      </c>
      <c r="D136" s="1">
        <v>0</v>
      </c>
      <c r="E136" s="1">
        <v>0</v>
      </c>
      <c r="F136" s="1">
        <v>0</v>
      </c>
      <c r="G136" s="2">
        <v>0</v>
      </c>
      <c r="H136" s="3">
        <v>0</v>
      </c>
      <c r="I136" s="3">
        <v>0</v>
      </c>
      <c r="J136" s="3">
        <v>0</v>
      </c>
      <c r="K136" t="s">
        <v>34</v>
      </c>
    </row>
    <row r="137" spans="1:11" ht="30" x14ac:dyDescent="0.25">
      <c r="A137" s="4" t="s">
        <v>373</v>
      </c>
      <c r="B137" s="1">
        <v>900000</v>
      </c>
      <c r="C137" s="1">
        <v>900000</v>
      </c>
      <c r="D137" s="1">
        <v>0</v>
      </c>
      <c r="E137" s="1">
        <v>0</v>
      </c>
      <c r="F137" s="1">
        <v>0</v>
      </c>
      <c r="G137" s="2">
        <v>0</v>
      </c>
      <c r="H137" s="3">
        <v>0</v>
      </c>
      <c r="I137" s="3">
        <v>0</v>
      </c>
      <c r="J137" s="3">
        <v>0</v>
      </c>
      <c r="K137" t="s">
        <v>34</v>
      </c>
    </row>
    <row r="138" spans="1:11" ht="30" x14ac:dyDescent="0.25">
      <c r="A138" s="4" t="s">
        <v>374</v>
      </c>
      <c r="B138" s="1">
        <v>150000</v>
      </c>
      <c r="C138" s="1">
        <v>150000</v>
      </c>
      <c r="D138" s="1">
        <v>0</v>
      </c>
      <c r="E138" s="1">
        <v>0</v>
      </c>
      <c r="F138" s="1">
        <v>0</v>
      </c>
      <c r="G138" s="2">
        <v>0</v>
      </c>
      <c r="H138" s="3">
        <v>0</v>
      </c>
      <c r="I138" s="3">
        <v>0</v>
      </c>
      <c r="J138" s="3">
        <v>0</v>
      </c>
      <c r="K138" t="s">
        <v>34</v>
      </c>
    </row>
    <row r="139" spans="1:11" ht="30" x14ac:dyDescent="0.25">
      <c r="A139" s="4" t="s">
        <v>375</v>
      </c>
      <c r="B139" s="1">
        <v>300000</v>
      </c>
      <c r="C139" s="1">
        <v>300000</v>
      </c>
      <c r="D139" s="1">
        <v>0</v>
      </c>
      <c r="E139" s="1">
        <v>0</v>
      </c>
      <c r="F139" s="1">
        <v>0</v>
      </c>
      <c r="G139" s="2">
        <v>0</v>
      </c>
      <c r="H139" s="3">
        <v>0</v>
      </c>
      <c r="I139" s="3">
        <v>0</v>
      </c>
      <c r="J139" s="3">
        <v>0</v>
      </c>
      <c r="K139" t="s">
        <v>38</v>
      </c>
    </row>
    <row r="140" spans="1:11" ht="30" x14ac:dyDescent="0.25">
      <c r="A140" s="4" t="s">
        <v>376</v>
      </c>
      <c r="B140" s="1">
        <v>700000</v>
      </c>
      <c r="C140" s="1">
        <v>700000</v>
      </c>
      <c r="D140" s="1">
        <v>0</v>
      </c>
      <c r="E140" s="1">
        <v>0</v>
      </c>
      <c r="F140" s="1">
        <v>0</v>
      </c>
      <c r="G140" s="2">
        <v>0</v>
      </c>
      <c r="H140" s="3">
        <v>0</v>
      </c>
      <c r="I140" s="3">
        <v>0</v>
      </c>
      <c r="J140" s="3">
        <v>0</v>
      </c>
      <c r="K140" t="s">
        <v>38</v>
      </c>
    </row>
    <row r="141" spans="1:11" ht="30" x14ac:dyDescent="0.25">
      <c r="A141" s="4" t="s">
        <v>377</v>
      </c>
      <c r="B141" s="1">
        <v>350000</v>
      </c>
      <c r="C141" s="1">
        <v>350000</v>
      </c>
      <c r="D141" s="1">
        <v>0</v>
      </c>
      <c r="E141" s="1">
        <v>0</v>
      </c>
      <c r="F141" s="1">
        <v>0</v>
      </c>
      <c r="G141" s="2">
        <v>0</v>
      </c>
      <c r="H141" s="3">
        <v>0</v>
      </c>
      <c r="I141" s="3">
        <v>0</v>
      </c>
      <c r="J141" s="3">
        <v>0</v>
      </c>
      <c r="K141" t="s">
        <v>38</v>
      </c>
    </row>
    <row r="142" spans="1:11" ht="30" x14ac:dyDescent="0.25">
      <c r="A142" s="4" t="s">
        <v>378</v>
      </c>
      <c r="B142" s="1">
        <v>350000</v>
      </c>
      <c r="C142" s="1">
        <v>350000</v>
      </c>
      <c r="D142" s="1">
        <v>0</v>
      </c>
      <c r="E142" s="1">
        <v>0</v>
      </c>
      <c r="F142" s="1">
        <v>0</v>
      </c>
      <c r="G142" s="2">
        <v>0</v>
      </c>
      <c r="H142" s="3">
        <v>0</v>
      </c>
      <c r="I142" s="3">
        <v>0</v>
      </c>
      <c r="J142" s="3">
        <v>0</v>
      </c>
      <c r="K142" t="s">
        <v>38</v>
      </c>
    </row>
    <row r="143" spans="1:11" ht="30" x14ac:dyDescent="0.25">
      <c r="A143" s="4" t="s">
        <v>379</v>
      </c>
      <c r="B143" s="1">
        <v>30000</v>
      </c>
      <c r="C143" s="1">
        <v>30000</v>
      </c>
      <c r="D143" s="1">
        <v>0</v>
      </c>
      <c r="E143" s="1">
        <v>0</v>
      </c>
      <c r="F143" s="1">
        <v>0</v>
      </c>
      <c r="G143" s="2">
        <v>0</v>
      </c>
      <c r="H143" s="3">
        <v>0</v>
      </c>
      <c r="I143" s="3">
        <v>0</v>
      </c>
      <c r="J143" s="3">
        <v>0</v>
      </c>
      <c r="K143" t="s">
        <v>38</v>
      </c>
    </row>
    <row r="144" spans="1:11" ht="30" x14ac:dyDescent="0.25">
      <c r="A144" s="4" t="s">
        <v>380</v>
      </c>
      <c r="B144" s="1">
        <v>300000</v>
      </c>
      <c r="C144" s="1">
        <v>300000</v>
      </c>
      <c r="D144" s="1">
        <v>0</v>
      </c>
      <c r="E144" s="1">
        <v>0</v>
      </c>
      <c r="F144" s="1">
        <v>0</v>
      </c>
      <c r="G144" s="2">
        <v>0</v>
      </c>
      <c r="H144" s="3">
        <v>0</v>
      </c>
      <c r="I144" s="3">
        <v>0</v>
      </c>
      <c r="J144" s="3">
        <v>0</v>
      </c>
      <c r="K144" t="s">
        <v>38</v>
      </c>
    </row>
    <row r="145" spans="1:11" ht="30" x14ac:dyDescent="0.25">
      <c r="A145" s="4" t="s">
        <v>381</v>
      </c>
      <c r="B145" s="1">
        <v>322542.2</v>
      </c>
      <c r="C145" s="1">
        <v>322542.2</v>
      </c>
      <c r="D145" s="1">
        <v>0</v>
      </c>
      <c r="E145" s="1">
        <v>0</v>
      </c>
      <c r="F145" s="1">
        <v>0</v>
      </c>
      <c r="G145" s="2">
        <v>0</v>
      </c>
      <c r="H145" s="3">
        <v>0</v>
      </c>
      <c r="I145" s="3">
        <v>0</v>
      </c>
      <c r="J145" s="3">
        <v>0</v>
      </c>
      <c r="K145" t="s">
        <v>38</v>
      </c>
    </row>
    <row r="146" spans="1:11" ht="30" x14ac:dyDescent="0.25">
      <c r="A146" s="4" t="s">
        <v>382</v>
      </c>
      <c r="B146" s="1">
        <v>300000</v>
      </c>
      <c r="C146" s="1">
        <v>300000</v>
      </c>
      <c r="D146" s="1">
        <v>0</v>
      </c>
      <c r="E146" s="1">
        <v>0</v>
      </c>
      <c r="F146" s="1">
        <v>0</v>
      </c>
      <c r="G146" s="2">
        <v>0</v>
      </c>
      <c r="H146" s="3">
        <v>0</v>
      </c>
      <c r="I146" s="3">
        <v>0</v>
      </c>
      <c r="J146" s="3">
        <v>0</v>
      </c>
      <c r="K146" t="s">
        <v>38</v>
      </c>
    </row>
    <row r="147" spans="1:11" ht="30" x14ac:dyDescent="0.25">
      <c r="A147" s="4" t="s">
        <v>383</v>
      </c>
      <c r="B147" s="1">
        <v>203164.92</v>
      </c>
      <c r="C147" s="1">
        <v>203164.92</v>
      </c>
      <c r="D147" s="1">
        <v>0</v>
      </c>
      <c r="E147" s="1">
        <v>0</v>
      </c>
      <c r="F147" s="1">
        <v>0</v>
      </c>
      <c r="G147" s="2">
        <v>0</v>
      </c>
      <c r="H147" s="3">
        <v>0</v>
      </c>
      <c r="I147" s="3">
        <v>0</v>
      </c>
      <c r="J147" s="3">
        <v>0</v>
      </c>
      <c r="K147" t="s">
        <v>38</v>
      </c>
    </row>
    <row r="148" spans="1:11" ht="30" x14ac:dyDescent="0.25">
      <c r="A148" s="4" t="s">
        <v>384</v>
      </c>
      <c r="B148" s="1">
        <v>330400</v>
      </c>
      <c r="C148" s="1">
        <v>330400</v>
      </c>
      <c r="D148" s="1">
        <v>0</v>
      </c>
      <c r="E148" s="1">
        <v>0</v>
      </c>
      <c r="F148" s="1">
        <v>0</v>
      </c>
      <c r="G148" s="2">
        <v>0</v>
      </c>
      <c r="H148" s="3">
        <v>0</v>
      </c>
      <c r="I148" s="3">
        <v>0</v>
      </c>
      <c r="J148" s="3">
        <v>0</v>
      </c>
      <c r="K148" t="s">
        <v>39</v>
      </c>
    </row>
    <row r="149" spans="1:11" ht="30" x14ac:dyDescent="0.25">
      <c r="A149" s="4" t="s">
        <v>385</v>
      </c>
      <c r="B149" s="1">
        <v>366400</v>
      </c>
      <c r="C149" s="1">
        <v>366400</v>
      </c>
      <c r="D149" s="1">
        <v>0</v>
      </c>
      <c r="E149" s="1">
        <v>0</v>
      </c>
      <c r="F149" s="1">
        <v>0</v>
      </c>
      <c r="G149" s="2">
        <v>0</v>
      </c>
      <c r="H149" s="3">
        <v>0</v>
      </c>
      <c r="I149" s="3">
        <v>0</v>
      </c>
      <c r="J149" s="3">
        <v>0</v>
      </c>
      <c r="K149" t="s">
        <v>39</v>
      </c>
    </row>
    <row r="150" spans="1:11" ht="30" x14ac:dyDescent="0.25">
      <c r="A150" s="4" t="s">
        <v>386</v>
      </c>
      <c r="B150" s="1">
        <v>340430</v>
      </c>
      <c r="C150" s="1">
        <v>340430</v>
      </c>
      <c r="D150" s="1">
        <v>0</v>
      </c>
      <c r="E150" s="1">
        <v>0</v>
      </c>
      <c r="F150" s="1">
        <v>0</v>
      </c>
      <c r="G150" s="2">
        <v>0</v>
      </c>
      <c r="H150" s="3">
        <v>0</v>
      </c>
      <c r="I150" s="3">
        <v>0</v>
      </c>
      <c r="J150" s="3">
        <v>0</v>
      </c>
      <c r="K150" t="s">
        <v>39</v>
      </c>
    </row>
    <row r="151" spans="1:11" ht="30" x14ac:dyDescent="0.25">
      <c r="A151" s="4" t="s">
        <v>185</v>
      </c>
      <c r="B151" s="1">
        <v>0</v>
      </c>
      <c r="C151" s="1">
        <v>1</v>
      </c>
      <c r="D151" s="1">
        <v>0</v>
      </c>
      <c r="E151" s="1">
        <v>0</v>
      </c>
      <c r="F151" s="1">
        <v>0</v>
      </c>
      <c r="G151" s="2">
        <v>0</v>
      </c>
      <c r="H151" s="3">
        <v>0</v>
      </c>
      <c r="I151" s="3">
        <v>0</v>
      </c>
      <c r="J151" s="3">
        <v>0</v>
      </c>
      <c r="K151" t="s">
        <v>87</v>
      </c>
    </row>
    <row r="152" spans="1:11" ht="30" x14ac:dyDescent="0.25">
      <c r="A152" s="4" t="s">
        <v>186</v>
      </c>
      <c r="B152" s="1">
        <v>0</v>
      </c>
      <c r="C152" s="1">
        <v>1</v>
      </c>
      <c r="D152" s="1">
        <v>0</v>
      </c>
      <c r="E152" s="1">
        <v>0</v>
      </c>
      <c r="F152" s="1">
        <v>0</v>
      </c>
      <c r="G152" s="2">
        <v>0</v>
      </c>
      <c r="H152" s="3">
        <v>0</v>
      </c>
      <c r="I152" s="3">
        <v>0</v>
      </c>
      <c r="J152" s="3">
        <v>0</v>
      </c>
      <c r="K152" t="s">
        <v>87</v>
      </c>
    </row>
    <row r="153" spans="1:11" ht="30" x14ac:dyDescent="0.25">
      <c r="A153" s="4" t="s">
        <v>187</v>
      </c>
      <c r="B153" s="1">
        <v>0</v>
      </c>
      <c r="C153" s="1">
        <v>1</v>
      </c>
      <c r="D153" s="1">
        <v>0</v>
      </c>
      <c r="E153" s="1">
        <v>0</v>
      </c>
      <c r="F153" s="1">
        <v>0</v>
      </c>
      <c r="G153" s="2">
        <v>0</v>
      </c>
      <c r="H153" s="3">
        <v>0</v>
      </c>
      <c r="I153" s="3">
        <v>0</v>
      </c>
      <c r="J153" s="3">
        <v>0</v>
      </c>
      <c r="K153" t="s">
        <v>87</v>
      </c>
    </row>
    <row r="154" spans="1:11" x14ac:dyDescent="0.25">
      <c r="B154" s="1">
        <f>SUBTOTAL(109,Table124[Toplam Yıl Ödeneği])</f>
        <v>99769650.520000011</v>
      </c>
      <c r="C154" s="1">
        <f>SUBTOTAL(109,Table124[Toplam Proje Tutarı])</f>
        <v>149663129.75999996</v>
      </c>
      <c r="D154" s="1">
        <f>SUBTOTAL(109,Table124[Önceki Yıllar Toplam Harcaması])</f>
        <v>2956279</v>
      </c>
      <c r="E154" s="1">
        <f>SUBTOTAL(109,Table124[Yılı Harcama Tutarı])</f>
        <v>14787052.629999999</v>
      </c>
      <c r="F154" s="1">
        <f>SUBTOTAL(109,Table124[Toplam Harcama Tutarı])</f>
        <v>17743331.629999999</v>
      </c>
      <c r="G154" s="7" t="s">
        <v>387</v>
      </c>
      <c r="H154" s="7" t="s">
        <v>388</v>
      </c>
      <c r="I154" s="7" t="s">
        <v>388</v>
      </c>
    </row>
  </sheetData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49-30B6-4014-9390-6BF982AE0514}">
  <dimension ref="A1:L48"/>
  <sheetViews>
    <sheetView topLeftCell="A43" workbookViewId="0">
      <selection activeCell="F59" sqref="F59"/>
    </sheetView>
  </sheetViews>
  <sheetFormatPr defaultRowHeight="15" x14ac:dyDescent="0.25"/>
  <cols>
    <col min="1" max="1" width="34.140625" customWidth="1"/>
    <col min="2" max="2" width="12.140625" customWidth="1"/>
    <col min="3" max="3" width="14.5703125" customWidth="1"/>
    <col min="4" max="4" width="13.42578125" customWidth="1"/>
    <col min="5" max="5" width="11.140625" customWidth="1"/>
    <col min="6" max="6" width="12.85546875" customWidth="1"/>
  </cols>
  <sheetData>
    <row r="1" spans="1:12" x14ac:dyDescent="0.25">
      <c r="A1" s="8" t="s">
        <v>188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x14ac:dyDescent="0.25">
      <c r="A4" s="4" t="s">
        <v>95</v>
      </c>
      <c r="B4" s="1">
        <v>83307000</v>
      </c>
      <c r="C4" s="1">
        <v>436298080</v>
      </c>
      <c r="D4" s="1">
        <v>129246910</v>
      </c>
      <c r="E4" s="1">
        <v>36775610</v>
      </c>
      <c r="F4" s="1">
        <v>166022520</v>
      </c>
      <c r="G4" s="2">
        <v>0.38052544260566101</v>
      </c>
      <c r="H4" s="3">
        <v>0.37264016229128399</v>
      </c>
      <c r="I4" s="3">
        <v>0.44144681719423301</v>
      </c>
      <c r="J4" s="3">
        <v>0.4</v>
      </c>
      <c r="K4" t="s">
        <v>33</v>
      </c>
    </row>
    <row r="5" spans="1:12" x14ac:dyDescent="0.25">
      <c r="A5" s="4" t="s">
        <v>94</v>
      </c>
      <c r="B5" s="1">
        <v>0</v>
      </c>
      <c r="C5" s="1">
        <v>61000000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33</v>
      </c>
    </row>
    <row r="6" spans="1:12" x14ac:dyDescent="0.25">
      <c r="A6" s="4" t="s">
        <v>93</v>
      </c>
      <c r="B6" s="1">
        <v>11000000</v>
      </c>
      <c r="C6" s="1">
        <v>228695849</v>
      </c>
      <c r="D6" s="1">
        <v>68921854</v>
      </c>
      <c r="E6" s="1">
        <v>0</v>
      </c>
      <c r="F6" s="1">
        <v>68921854</v>
      </c>
      <c r="G6" s="2">
        <v>0.30136906420194798</v>
      </c>
      <c r="H6" s="3">
        <v>0</v>
      </c>
      <c r="I6" s="3">
        <v>0</v>
      </c>
      <c r="J6" s="3">
        <v>0.3</v>
      </c>
      <c r="K6" t="s">
        <v>87</v>
      </c>
    </row>
    <row r="7" spans="1:12" x14ac:dyDescent="0.25">
      <c r="A7" s="4" t="s">
        <v>92</v>
      </c>
      <c r="B7" s="1">
        <v>11000000</v>
      </c>
      <c r="C7" s="1">
        <v>283822475</v>
      </c>
      <c r="D7" s="1">
        <v>78572860</v>
      </c>
      <c r="E7" s="1">
        <v>1211175</v>
      </c>
      <c r="F7" s="1">
        <v>79784035</v>
      </c>
      <c r="G7" s="2">
        <v>0.28110541633462999</v>
      </c>
      <c r="H7" s="3">
        <v>0.110106818181818</v>
      </c>
      <c r="I7" s="3">
        <v>0.110106818181818</v>
      </c>
      <c r="J7" s="3">
        <v>0.28000000000000003</v>
      </c>
      <c r="K7" t="s">
        <v>87</v>
      </c>
    </row>
    <row r="8" spans="1:12" ht="45" x14ac:dyDescent="0.25">
      <c r="A8" s="4" t="s">
        <v>91</v>
      </c>
      <c r="B8" s="1">
        <v>1000</v>
      </c>
      <c r="C8" s="1">
        <v>71614131</v>
      </c>
      <c r="D8" s="1">
        <v>5272027</v>
      </c>
      <c r="E8" s="1">
        <v>0</v>
      </c>
      <c r="F8" s="1">
        <v>5272124</v>
      </c>
      <c r="G8" s="2">
        <v>7.3618487390428602E-2</v>
      </c>
      <c r="H8" s="3">
        <v>9.7000000000000003E-2</v>
      </c>
      <c r="I8" s="3">
        <v>9.7000000000000003E-2</v>
      </c>
      <c r="J8" s="3">
        <v>0</v>
      </c>
      <c r="K8" t="s">
        <v>33</v>
      </c>
    </row>
    <row r="9" spans="1:12" ht="30" x14ac:dyDescent="0.25">
      <c r="A9" s="4" t="s">
        <v>90</v>
      </c>
      <c r="B9" s="1">
        <v>1</v>
      </c>
      <c r="C9" s="1">
        <v>45000000</v>
      </c>
      <c r="D9" s="1">
        <v>0</v>
      </c>
      <c r="E9" s="1">
        <v>0</v>
      </c>
      <c r="F9" s="1">
        <v>0</v>
      </c>
      <c r="G9" s="2">
        <v>0</v>
      </c>
      <c r="H9" s="3">
        <v>0</v>
      </c>
      <c r="I9" s="3">
        <v>0</v>
      </c>
      <c r="J9" s="3">
        <v>0</v>
      </c>
      <c r="K9" t="s">
        <v>87</v>
      </c>
    </row>
    <row r="10" spans="1:12" ht="90" x14ac:dyDescent="0.25">
      <c r="A10" s="4" t="s">
        <v>89</v>
      </c>
      <c r="B10" s="1">
        <v>350000</v>
      </c>
      <c r="C10" s="1">
        <v>24148605</v>
      </c>
      <c r="D10" s="1">
        <v>18839065</v>
      </c>
      <c r="E10" s="1">
        <v>292936</v>
      </c>
      <c r="F10" s="1">
        <v>19132001</v>
      </c>
      <c r="G10" s="2">
        <v>0.79226112647086699</v>
      </c>
      <c r="H10" s="3">
        <v>0.83696000000000004</v>
      </c>
      <c r="I10" s="3">
        <v>0.83696000000000004</v>
      </c>
      <c r="J10" s="3">
        <v>0.78</v>
      </c>
      <c r="K10" t="s">
        <v>87</v>
      </c>
    </row>
    <row r="11" spans="1:12" ht="45" x14ac:dyDescent="0.25">
      <c r="A11" s="4" t="s">
        <v>88</v>
      </c>
      <c r="B11" s="1">
        <v>300000</v>
      </c>
      <c r="C11" s="1">
        <v>6978090</v>
      </c>
      <c r="D11" s="1">
        <v>3907730</v>
      </c>
      <c r="E11" s="1">
        <v>0</v>
      </c>
      <c r="F11" s="1">
        <v>3907730</v>
      </c>
      <c r="G11" s="2">
        <v>0.55999994267772402</v>
      </c>
      <c r="H11" s="3">
        <v>0</v>
      </c>
      <c r="I11" s="3">
        <v>0</v>
      </c>
      <c r="J11" s="3">
        <v>0.56000000000000005</v>
      </c>
      <c r="K11" t="s">
        <v>87</v>
      </c>
    </row>
    <row r="12" spans="1:12" ht="30" x14ac:dyDescent="0.25">
      <c r="A12" s="4" t="s">
        <v>86</v>
      </c>
      <c r="B12" s="1">
        <v>1</v>
      </c>
      <c r="C12" s="1">
        <v>1500000</v>
      </c>
      <c r="D12" s="1">
        <v>0</v>
      </c>
      <c r="E12" s="1">
        <v>0</v>
      </c>
      <c r="F12" s="1">
        <v>0</v>
      </c>
      <c r="G12" s="2">
        <v>0</v>
      </c>
      <c r="H12" s="3">
        <v>0</v>
      </c>
      <c r="I12" s="3">
        <v>0</v>
      </c>
      <c r="J12" s="3">
        <v>0</v>
      </c>
      <c r="K12" t="s">
        <v>33</v>
      </c>
    </row>
    <row r="13" spans="1:12" ht="45" x14ac:dyDescent="0.25">
      <c r="A13" s="4" t="s">
        <v>85</v>
      </c>
      <c r="B13" s="1">
        <v>1</v>
      </c>
      <c r="C13" s="1">
        <v>25000000</v>
      </c>
      <c r="D13" s="1">
        <v>0</v>
      </c>
      <c r="E13" s="1">
        <v>0</v>
      </c>
      <c r="F13" s="1">
        <v>0</v>
      </c>
      <c r="G13" s="2">
        <v>0</v>
      </c>
      <c r="H13" s="3">
        <v>0</v>
      </c>
      <c r="I13" s="3">
        <v>0</v>
      </c>
      <c r="J13" s="3">
        <v>0</v>
      </c>
      <c r="K13" t="s">
        <v>33</v>
      </c>
    </row>
    <row r="14" spans="1:12" ht="30" x14ac:dyDescent="0.25">
      <c r="A14" s="4" t="s">
        <v>84</v>
      </c>
      <c r="B14" s="1">
        <v>1</v>
      </c>
      <c r="C14" s="1">
        <v>110000000</v>
      </c>
      <c r="D14" s="1">
        <v>0</v>
      </c>
      <c r="E14" s="1">
        <v>0</v>
      </c>
      <c r="F14" s="1">
        <v>0</v>
      </c>
      <c r="G14" s="2">
        <v>0</v>
      </c>
      <c r="H14" s="3">
        <v>0</v>
      </c>
      <c r="I14" s="3">
        <v>0</v>
      </c>
      <c r="J14" s="3">
        <v>0.8</v>
      </c>
      <c r="K14" t="s">
        <v>36</v>
      </c>
    </row>
    <row r="15" spans="1:12" x14ac:dyDescent="0.25">
      <c r="A15" s="4" t="s">
        <v>83</v>
      </c>
      <c r="B15" s="1">
        <v>4000000</v>
      </c>
      <c r="C15" s="1">
        <v>175882054</v>
      </c>
      <c r="D15" s="1">
        <v>38349303</v>
      </c>
      <c r="E15" s="1">
        <v>2791050</v>
      </c>
      <c r="F15" s="1">
        <v>38349301</v>
      </c>
      <c r="G15" s="2">
        <v>0.21803987460824201</v>
      </c>
      <c r="H15" s="3">
        <v>0.69776249999999995</v>
      </c>
      <c r="I15" s="3">
        <v>0.69776249999999995</v>
      </c>
      <c r="J15" s="3">
        <v>0.22</v>
      </c>
      <c r="K15" t="s">
        <v>36</v>
      </c>
    </row>
    <row r="16" spans="1:12" ht="30" x14ac:dyDescent="0.25">
      <c r="A16" s="4" t="s">
        <v>82</v>
      </c>
      <c r="B16" s="1">
        <v>2500000</v>
      </c>
      <c r="C16" s="1">
        <v>30015261</v>
      </c>
      <c r="D16" s="1">
        <v>0</v>
      </c>
      <c r="E16" s="1">
        <v>0</v>
      </c>
      <c r="F16" s="1">
        <v>0</v>
      </c>
      <c r="G16" s="2">
        <v>0</v>
      </c>
      <c r="H16" s="3">
        <v>0</v>
      </c>
      <c r="I16" s="3">
        <v>0</v>
      </c>
      <c r="J16" s="3">
        <v>0</v>
      </c>
      <c r="K16" t="s">
        <v>36</v>
      </c>
    </row>
    <row r="17" spans="1:11" ht="30" x14ac:dyDescent="0.25">
      <c r="A17" s="4" t="s">
        <v>189</v>
      </c>
      <c r="B17" s="1">
        <v>1</v>
      </c>
      <c r="C17" s="1">
        <v>31591952</v>
      </c>
      <c r="D17" s="1">
        <v>0</v>
      </c>
      <c r="E17" s="1">
        <v>0</v>
      </c>
      <c r="F17" s="1">
        <v>0</v>
      </c>
      <c r="G17" s="2">
        <v>0</v>
      </c>
      <c r="H17" s="3">
        <v>0</v>
      </c>
      <c r="I17" s="3">
        <v>0</v>
      </c>
      <c r="J17" s="3">
        <v>0</v>
      </c>
      <c r="K17" t="s">
        <v>36</v>
      </c>
    </row>
    <row r="18" spans="1:11" ht="30" x14ac:dyDescent="0.25">
      <c r="A18" s="4" t="s">
        <v>81</v>
      </c>
      <c r="B18" s="1">
        <v>1</v>
      </c>
      <c r="C18" s="1">
        <v>120000000</v>
      </c>
      <c r="D18" s="1">
        <v>0</v>
      </c>
      <c r="E18" s="1">
        <v>0</v>
      </c>
      <c r="F18" s="1">
        <v>0</v>
      </c>
      <c r="G18" s="2">
        <v>0</v>
      </c>
      <c r="H18" s="3">
        <v>0</v>
      </c>
      <c r="I18" s="3">
        <v>0</v>
      </c>
      <c r="J18" s="3">
        <v>0</v>
      </c>
      <c r="K18" t="s">
        <v>36</v>
      </c>
    </row>
    <row r="19" spans="1:11" x14ac:dyDescent="0.25">
      <c r="A19" s="4" t="s">
        <v>80</v>
      </c>
      <c r="B19" s="1">
        <v>8000000</v>
      </c>
      <c r="C19" s="1">
        <v>76724525</v>
      </c>
      <c r="D19" s="1">
        <v>53903163</v>
      </c>
      <c r="E19" s="1">
        <v>0</v>
      </c>
      <c r="F19" s="1">
        <v>53903163</v>
      </c>
      <c r="G19" s="2">
        <v>0.70255453520240096</v>
      </c>
      <c r="H19" s="3">
        <v>0</v>
      </c>
      <c r="I19" s="3">
        <v>0</v>
      </c>
      <c r="J19" s="3">
        <v>0.7</v>
      </c>
      <c r="K19" t="s">
        <v>36</v>
      </c>
    </row>
    <row r="20" spans="1:11" ht="30" x14ac:dyDescent="0.25">
      <c r="A20" s="4" t="s">
        <v>79</v>
      </c>
      <c r="B20" s="1">
        <v>4000000</v>
      </c>
      <c r="C20" s="1">
        <v>13119059</v>
      </c>
      <c r="D20" s="1">
        <v>0</v>
      </c>
      <c r="E20" s="1">
        <v>871874</v>
      </c>
      <c r="F20" s="1">
        <v>0</v>
      </c>
      <c r="G20" s="2">
        <v>0</v>
      </c>
      <c r="H20" s="3">
        <v>0</v>
      </c>
      <c r="I20" s="3">
        <v>0</v>
      </c>
      <c r="J20" s="3">
        <v>0</v>
      </c>
      <c r="K20" t="s">
        <v>36</v>
      </c>
    </row>
    <row r="21" spans="1:11" ht="30" x14ac:dyDescent="0.25">
      <c r="A21" s="4" t="s">
        <v>190</v>
      </c>
      <c r="B21" s="1">
        <v>9859834</v>
      </c>
      <c r="C21" s="1">
        <v>12645655</v>
      </c>
      <c r="D21" s="1">
        <v>0</v>
      </c>
      <c r="E21" s="1">
        <v>9859834</v>
      </c>
      <c r="F21" s="1">
        <v>9859834</v>
      </c>
      <c r="G21" s="2">
        <v>0.77970132824278404</v>
      </c>
      <c r="H21" s="3">
        <v>1</v>
      </c>
      <c r="I21" s="3">
        <v>1</v>
      </c>
      <c r="J21" s="3">
        <v>1</v>
      </c>
      <c r="K21" t="s">
        <v>36</v>
      </c>
    </row>
    <row r="22" spans="1:11" x14ac:dyDescent="0.25">
      <c r="A22" s="4" t="s">
        <v>191</v>
      </c>
      <c r="B22" s="1">
        <v>1</v>
      </c>
      <c r="C22" s="1">
        <v>20000000</v>
      </c>
      <c r="D22" s="1">
        <v>0</v>
      </c>
      <c r="E22" s="1">
        <v>0</v>
      </c>
      <c r="F22" s="1">
        <v>0</v>
      </c>
      <c r="G22" s="2">
        <v>0</v>
      </c>
      <c r="H22" s="3">
        <v>0</v>
      </c>
      <c r="I22" s="3">
        <v>0</v>
      </c>
      <c r="J22" s="3">
        <v>0</v>
      </c>
      <c r="K22" t="s">
        <v>33</v>
      </c>
    </row>
    <row r="23" spans="1:11" x14ac:dyDescent="0.25">
      <c r="A23" s="4" t="s">
        <v>78</v>
      </c>
      <c r="B23" s="1">
        <v>10000000</v>
      </c>
      <c r="C23" s="1">
        <v>89316011</v>
      </c>
      <c r="D23" s="1">
        <v>58626803</v>
      </c>
      <c r="E23" s="1">
        <v>0</v>
      </c>
      <c r="F23" s="1">
        <v>58626803</v>
      </c>
      <c r="G23" s="2">
        <v>0.65639746271248101</v>
      </c>
      <c r="H23" s="3">
        <v>0</v>
      </c>
      <c r="I23" s="3">
        <v>0</v>
      </c>
      <c r="J23" s="3">
        <v>0.66</v>
      </c>
      <c r="K23" t="s">
        <v>33</v>
      </c>
    </row>
    <row r="24" spans="1:11" ht="30" x14ac:dyDescent="0.25">
      <c r="A24" s="4" t="s">
        <v>77</v>
      </c>
      <c r="B24" s="1">
        <v>6500000</v>
      </c>
      <c r="C24" s="1">
        <v>20696520</v>
      </c>
      <c r="D24" s="1">
        <v>0</v>
      </c>
      <c r="E24" s="1">
        <v>0</v>
      </c>
      <c r="F24" s="1">
        <v>0</v>
      </c>
      <c r="G24" s="2">
        <v>0</v>
      </c>
      <c r="H24" s="3">
        <v>0</v>
      </c>
      <c r="I24" s="3">
        <v>0</v>
      </c>
      <c r="J24" s="3">
        <v>0</v>
      </c>
      <c r="K24" t="s">
        <v>33</v>
      </c>
    </row>
    <row r="25" spans="1:11" ht="30" x14ac:dyDescent="0.25">
      <c r="A25" s="4" t="s">
        <v>192</v>
      </c>
      <c r="B25" s="1">
        <v>8125438</v>
      </c>
      <c r="C25" s="1">
        <v>10421219</v>
      </c>
      <c r="D25" s="1">
        <v>0</v>
      </c>
      <c r="E25" s="1">
        <v>0</v>
      </c>
      <c r="F25" s="1">
        <v>0</v>
      </c>
      <c r="G25" s="2">
        <v>0</v>
      </c>
      <c r="H25" s="3">
        <v>0</v>
      </c>
      <c r="I25" s="3">
        <v>0</v>
      </c>
      <c r="J25" s="3">
        <v>0</v>
      </c>
      <c r="K25" t="s">
        <v>33</v>
      </c>
    </row>
    <row r="26" spans="1:11" ht="30" x14ac:dyDescent="0.25">
      <c r="A26" s="4" t="s">
        <v>193</v>
      </c>
      <c r="B26" s="1">
        <v>1</v>
      </c>
      <c r="C26" s="1">
        <v>51000000</v>
      </c>
      <c r="D26" s="1">
        <v>0</v>
      </c>
      <c r="E26" s="1">
        <v>0</v>
      </c>
      <c r="F26" s="1">
        <v>0</v>
      </c>
      <c r="G26" s="2">
        <v>0</v>
      </c>
      <c r="H26" s="3">
        <v>0</v>
      </c>
      <c r="I26" s="3">
        <v>0</v>
      </c>
      <c r="J26" s="3">
        <v>0</v>
      </c>
      <c r="K26" t="s">
        <v>33</v>
      </c>
    </row>
    <row r="27" spans="1:11" ht="45" x14ac:dyDescent="0.25">
      <c r="A27" s="4" t="s">
        <v>194</v>
      </c>
      <c r="B27" s="1">
        <v>1</v>
      </c>
      <c r="C27" s="1">
        <v>150000000</v>
      </c>
      <c r="D27" s="1">
        <v>0</v>
      </c>
      <c r="E27" s="1">
        <v>0</v>
      </c>
      <c r="F27" s="1">
        <v>0</v>
      </c>
      <c r="G27" s="2">
        <v>0</v>
      </c>
      <c r="H27" s="3">
        <v>0</v>
      </c>
      <c r="I27" s="3">
        <v>0</v>
      </c>
      <c r="J27" s="3">
        <v>0</v>
      </c>
      <c r="K27" t="s">
        <v>33</v>
      </c>
    </row>
    <row r="28" spans="1:11" ht="30" x14ac:dyDescent="0.25">
      <c r="A28" s="4" t="s">
        <v>76</v>
      </c>
      <c r="B28" s="1">
        <v>1</v>
      </c>
      <c r="C28" s="1">
        <v>20000000</v>
      </c>
      <c r="D28" s="1">
        <v>0</v>
      </c>
      <c r="E28" s="1">
        <v>0</v>
      </c>
      <c r="F28" s="1">
        <v>0</v>
      </c>
      <c r="G28" s="2">
        <v>0</v>
      </c>
      <c r="H28" s="3">
        <v>0</v>
      </c>
      <c r="I28" s="3">
        <v>0</v>
      </c>
      <c r="J28" s="3">
        <v>0</v>
      </c>
      <c r="K28" t="s">
        <v>40</v>
      </c>
    </row>
    <row r="29" spans="1:11" ht="60" x14ac:dyDescent="0.25">
      <c r="A29" s="4" t="s">
        <v>75</v>
      </c>
      <c r="B29" s="1">
        <v>1</v>
      </c>
      <c r="C29" s="1">
        <v>30000000</v>
      </c>
      <c r="D29" s="1">
        <v>0</v>
      </c>
      <c r="E29" s="1">
        <v>0</v>
      </c>
      <c r="F29" s="1">
        <v>0</v>
      </c>
      <c r="G29" s="2">
        <v>0</v>
      </c>
      <c r="H29" s="3">
        <v>0</v>
      </c>
      <c r="I29" s="3">
        <v>0</v>
      </c>
      <c r="J29" s="3">
        <v>0.05</v>
      </c>
      <c r="K29" t="s">
        <v>34</v>
      </c>
    </row>
    <row r="30" spans="1:11" ht="30" x14ac:dyDescent="0.25">
      <c r="A30" s="4" t="s">
        <v>74</v>
      </c>
      <c r="B30" s="1">
        <v>4948776</v>
      </c>
      <c r="C30" s="1">
        <v>142369484</v>
      </c>
      <c r="D30" s="1">
        <v>13134885</v>
      </c>
      <c r="E30" s="1">
        <v>1403968</v>
      </c>
      <c r="F30" s="1">
        <v>13134884</v>
      </c>
      <c r="G30" s="2">
        <v>9.2259124855716995E-2</v>
      </c>
      <c r="H30" s="3">
        <v>0.28370005027505801</v>
      </c>
      <c r="I30" s="3">
        <v>0.28370005027505801</v>
      </c>
      <c r="J30" s="3">
        <v>0.1</v>
      </c>
      <c r="K30" t="s">
        <v>34</v>
      </c>
    </row>
    <row r="31" spans="1:11" ht="30" x14ac:dyDescent="0.25">
      <c r="A31" s="4" t="s">
        <v>73</v>
      </c>
      <c r="B31" s="1">
        <v>2</v>
      </c>
      <c r="C31" s="1">
        <v>43283407</v>
      </c>
      <c r="D31" s="1">
        <v>0</v>
      </c>
      <c r="E31" s="1">
        <v>0</v>
      </c>
      <c r="F31" s="1">
        <v>0</v>
      </c>
      <c r="G31" s="2">
        <v>0</v>
      </c>
      <c r="H31" s="3">
        <v>0</v>
      </c>
      <c r="I31" s="3">
        <v>0</v>
      </c>
      <c r="J31" s="3">
        <v>0</v>
      </c>
      <c r="K31" t="s">
        <v>34</v>
      </c>
    </row>
    <row r="32" spans="1:11" ht="45" x14ac:dyDescent="0.25">
      <c r="A32" s="4" t="s">
        <v>195</v>
      </c>
      <c r="B32" s="1">
        <v>1</v>
      </c>
      <c r="C32" s="1">
        <v>15000000</v>
      </c>
      <c r="D32" s="1">
        <v>0</v>
      </c>
      <c r="E32" s="1">
        <v>0</v>
      </c>
      <c r="F32" s="1">
        <v>0</v>
      </c>
      <c r="G32" s="2">
        <v>0</v>
      </c>
      <c r="H32" s="3">
        <v>0</v>
      </c>
      <c r="I32" s="3">
        <v>0</v>
      </c>
      <c r="J32" s="3">
        <v>0</v>
      </c>
      <c r="K32" t="s">
        <v>34</v>
      </c>
    </row>
    <row r="33" spans="1:11" ht="30" x14ac:dyDescent="0.25">
      <c r="A33" s="4" t="s">
        <v>72</v>
      </c>
      <c r="B33" s="1">
        <v>4000000</v>
      </c>
      <c r="C33" s="1">
        <v>27561994</v>
      </c>
      <c r="D33" s="1">
        <v>0</v>
      </c>
      <c r="E33" s="1">
        <v>0</v>
      </c>
      <c r="F33" s="1">
        <v>0</v>
      </c>
      <c r="G33" s="2">
        <v>0</v>
      </c>
      <c r="H33" s="3">
        <v>0</v>
      </c>
      <c r="I33" s="3">
        <v>0</v>
      </c>
      <c r="J33" s="3">
        <v>0</v>
      </c>
      <c r="K33" t="s">
        <v>34</v>
      </c>
    </row>
    <row r="34" spans="1:11" ht="45" x14ac:dyDescent="0.25">
      <c r="A34" s="4" t="s">
        <v>71</v>
      </c>
      <c r="B34" s="1">
        <v>6000000</v>
      </c>
      <c r="C34" s="1">
        <v>18481277</v>
      </c>
      <c r="D34" s="1">
        <v>0</v>
      </c>
      <c r="E34" s="1">
        <v>0</v>
      </c>
      <c r="F34" s="1">
        <v>0</v>
      </c>
      <c r="G34" s="2">
        <v>0</v>
      </c>
      <c r="H34" s="3">
        <v>0</v>
      </c>
      <c r="I34" s="3">
        <v>0</v>
      </c>
      <c r="J34" s="3">
        <v>0</v>
      </c>
      <c r="K34" t="s">
        <v>34</v>
      </c>
    </row>
    <row r="35" spans="1:11" ht="30" x14ac:dyDescent="0.25">
      <c r="A35" s="4" t="s">
        <v>70</v>
      </c>
      <c r="B35" s="1">
        <v>0</v>
      </c>
      <c r="C35" s="1">
        <v>79983401</v>
      </c>
      <c r="D35" s="1">
        <v>31542921</v>
      </c>
      <c r="E35" s="1">
        <v>0</v>
      </c>
      <c r="F35" s="1">
        <v>31542921</v>
      </c>
      <c r="G35" s="2">
        <v>0.39436833900073798</v>
      </c>
      <c r="H35" s="3">
        <v>0</v>
      </c>
      <c r="I35" s="3">
        <v>0</v>
      </c>
      <c r="J35" s="3">
        <v>0.39</v>
      </c>
      <c r="K35" t="s">
        <v>34</v>
      </c>
    </row>
    <row r="36" spans="1:11" ht="30" x14ac:dyDescent="0.25">
      <c r="A36" s="4" t="s">
        <v>69</v>
      </c>
      <c r="B36" s="1">
        <v>2</v>
      </c>
      <c r="C36" s="1">
        <v>36754897</v>
      </c>
      <c r="D36" s="1">
        <v>0</v>
      </c>
      <c r="E36" s="1">
        <v>0</v>
      </c>
      <c r="F36" s="1">
        <v>0</v>
      </c>
      <c r="G36" s="2">
        <v>0</v>
      </c>
      <c r="H36" s="3">
        <v>0</v>
      </c>
      <c r="I36" s="3">
        <v>0</v>
      </c>
      <c r="J36" s="3">
        <v>0</v>
      </c>
      <c r="K36" t="s">
        <v>34</v>
      </c>
    </row>
    <row r="37" spans="1:11" ht="45" x14ac:dyDescent="0.25">
      <c r="A37" s="4" t="s">
        <v>196</v>
      </c>
      <c r="B37" s="1">
        <v>1</v>
      </c>
      <c r="C37" s="1">
        <v>12000000</v>
      </c>
      <c r="D37" s="1">
        <v>0</v>
      </c>
      <c r="E37" s="1">
        <v>0</v>
      </c>
      <c r="F37" s="1">
        <v>0</v>
      </c>
      <c r="G37" s="2">
        <v>0</v>
      </c>
      <c r="H37" s="3">
        <v>0</v>
      </c>
      <c r="I37" s="3">
        <v>0</v>
      </c>
      <c r="J37" s="3">
        <v>0</v>
      </c>
      <c r="K37" t="s">
        <v>34</v>
      </c>
    </row>
    <row r="38" spans="1:11" ht="45" x14ac:dyDescent="0.25">
      <c r="A38" s="4" t="s">
        <v>197</v>
      </c>
      <c r="B38" s="1">
        <v>1</v>
      </c>
      <c r="C38" s="1">
        <v>15000000</v>
      </c>
      <c r="D38" s="1">
        <v>0</v>
      </c>
      <c r="E38" s="1">
        <v>0</v>
      </c>
      <c r="F38" s="1">
        <v>0</v>
      </c>
      <c r="G38" s="2">
        <v>0</v>
      </c>
      <c r="H38" s="3">
        <v>0</v>
      </c>
      <c r="I38" s="3">
        <v>0</v>
      </c>
      <c r="J38" s="3">
        <v>0</v>
      </c>
      <c r="K38" t="s">
        <v>34</v>
      </c>
    </row>
    <row r="39" spans="1:11" ht="30" x14ac:dyDescent="0.25">
      <c r="A39" s="4" t="s">
        <v>68</v>
      </c>
      <c r="B39" s="1">
        <v>26934000</v>
      </c>
      <c r="C39" s="1">
        <v>98238542</v>
      </c>
      <c r="D39" s="1">
        <v>0</v>
      </c>
      <c r="E39" s="1">
        <v>19934000</v>
      </c>
      <c r="F39" s="1">
        <v>19934000</v>
      </c>
      <c r="G39" s="2">
        <v>0.20291424927703</v>
      </c>
      <c r="H39" s="3">
        <v>0.74010544293458103</v>
      </c>
      <c r="I39" s="3">
        <v>0.74010544293458103</v>
      </c>
      <c r="J39" s="3">
        <v>0.26</v>
      </c>
      <c r="K39" t="s">
        <v>33</v>
      </c>
    </row>
    <row r="40" spans="1:11" ht="30" x14ac:dyDescent="0.25">
      <c r="A40" s="4" t="s">
        <v>198</v>
      </c>
      <c r="B40" s="1">
        <v>1</v>
      </c>
      <c r="C40" s="1">
        <v>40000000</v>
      </c>
      <c r="D40" s="1">
        <v>0</v>
      </c>
      <c r="E40" s="1">
        <v>0</v>
      </c>
      <c r="F40" s="1">
        <v>0</v>
      </c>
      <c r="G40" s="2">
        <v>0</v>
      </c>
      <c r="H40" s="3">
        <v>0</v>
      </c>
      <c r="I40" s="3">
        <v>0</v>
      </c>
      <c r="J40" s="3">
        <v>0</v>
      </c>
      <c r="K40" t="s">
        <v>33</v>
      </c>
    </row>
    <row r="41" spans="1:11" ht="45" x14ac:dyDescent="0.25">
      <c r="A41" s="4" t="s">
        <v>199</v>
      </c>
      <c r="B41" s="1">
        <v>1</v>
      </c>
      <c r="C41" s="1">
        <v>45000000</v>
      </c>
      <c r="D41" s="1">
        <v>0</v>
      </c>
      <c r="E41" s="1">
        <v>0</v>
      </c>
      <c r="F41" s="1">
        <v>0</v>
      </c>
      <c r="G41" s="2">
        <v>0</v>
      </c>
      <c r="H41" s="3">
        <v>0</v>
      </c>
      <c r="I41" s="3">
        <v>0</v>
      </c>
      <c r="J41" s="3">
        <v>0</v>
      </c>
      <c r="K41" t="s">
        <v>38</v>
      </c>
    </row>
    <row r="42" spans="1:11" ht="30" x14ac:dyDescent="0.25">
      <c r="A42" s="4" t="s">
        <v>67</v>
      </c>
      <c r="B42" s="1">
        <v>1</v>
      </c>
      <c r="C42" s="1">
        <v>25298769</v>
      </c>
      <c r="D42" s="1">
        <v>0</v>
      </c>
      <c r="E42" s="1">
        <v>0</v>
      </c>
      <c r="F42" s="1">
        <v>0</v>
      </c>
      <c r="G42" s="2">
        <v>0</v>
      </c>
      <c r="H42" s="3">
        <v>0</v>
      </c>
      <c r="I42" s="3">
        <v>0</v>
      </c>
      <c r="J42" s="3">
        <v>0</v>
      </c>
      <c r="K42" t="s">
        <v>38</v>
      </c>
    </row>
    <row r="43" spans="1:11" ht="45" x14ac:dyDescent="0.25">
      <c r="A43" s="4" t="s">
        <v>200</v>
      </c>
      <c r="B43" s="1">
        <v>0</v>
      </c>
      <c r="C43" s="1">
        <v>1</v>
      </c>
      <c r="D43" s="1">
        <v>0</v>
      </c>
      <c r="E43" s="1">
        <v>0</v>
      </c>
      <c r="F43" s="1">
        <v>0</v>
      </c>
      <c r="G43" s="2">
        <v>0</v>
      </c>
      <c r="H43" s="3">
        <v>0</v>
      </c>
      <c r="I43" s="3">
        <v>0</v>
      </c>
      <c r="J43" s="3">
        <v>0</v>
      </c>
      <c r="K43" t="s">
        <v>38</v>
      </c>
    </row>
    <row r="44" spans="1:11" x14ac:dyDescent="0.25">
      <c r="A44" s="4" t="s">
        <v>66</v>
      </c>
      <c r="B44" s="1"/>
      <c r="C44" s="1">
        <v>620936902</v>
      </c>
      <c r="D44" s="1">
        <v>609616983</v>
      </c>
      <c r="E44" s="1">
        <v>0</v>
      </c>
      <c r="F44" s="1">
        <v>609616983</v>
      </c>
      <c r="G44" s="2">
        <v>0.98176961465240797</v>
      </c>
      <c r="H44" s="3">
        <v>0</v>
      </c>
      <c r="I44" s="3">
        <v>0</v>
      </c>
      <c r="J44" s="3">
        <v>1</v>
      </c>
      <c r="K44" t="s">
        <v>35</v>
      </c>
    </row>
    <row r="45" spans="1:11" ht="30" x14ac:dyDescent="0.25">
      <c r="A45" s="4" t="s">
        <v>65</v>
      </c>
      <c r="B45" s="1">
        <v>1</v>
      </c>
      <c r="C45" s="1">
        <v>2200000000</v>
      </c>
      <c r="D45" s="1">
        <v>0</v>
      </c>
      <c r="E45" s="1">
        <v>0</v>
      </c>
      <c r="F45" s="1">
        <v>0</v>
      </c>
      <c r="G45" s="2">
        <v>0</v>
      </c>
      <c r="H45" s="3">
        <v>0</v>
      </c>
      <c r="I45" s="3">
        <v>0</v>
      </c>
      <c r="J45" s="3">
        <v>0</v>
      </c>
      <c r="K45" t="s">
        <v>35</v>
      </c>
    </row>
    <row r="46" spans="1:11" ht="30" x14ac:dyDescent="0.25">
      <c r="A46" s="4" t="s">
        <v>64</v>
      </c>
      <c r="B46" s="1">
        <v>1</v>
      </c>
      <c r="C46" s="1">
        <v>60000000</v>
      </c>
      <c r="D46" s="1">
        <v>0</v>
      </c>
      <c r="E46" s="1">
        <v>0</v>
      </c>
      <c r="F46" s="1">
        <v>0</v>
      </c>
      <c r="G46" s="2">
        <v>0</v>
      </c>
      <c r="H46" s="3">
        <v>0</v>
      </c>
      <c r="I46" s="3">
        <v>0</v>
      </c>
      <c r="J46" s="3">
        <v>0</v>
      </c>
      <c r="K46" t="s">
        <v>39</v>
      </c>
    </row>
    <row r="47" spans="1:11" ht="30" x14ac:dyDescent="0.25">
      <c r="A47" s="4" t="s">
        <v>201</v>
      </c>
      <c r="B47" s="1">
        <v>0</v>
      </c>
      <c r="C47" s="1">
        <v>1</v>
      </c>
      <c r="D47" s="1">
        <v>0</v>
      </c>
      <c r="E47" s="1">
        <v>0</v>
      </c>
      <c r="F47" s="1">
        <v>0</v>
      </c>
      <c r="G47" s="2">
        <v>0</v>
      </c>
      <c r="H47" s="3">
        <v>0</v>
      </c>
      <c r="I47" s="3">
        <v>0</v>
      </c>
      <c r="J47" s="3">
        <v>0</v>
      </c>
      <c r="K47" t="s">
        <v>39</v>
      </c>
    </row>
    <row r="48" spans="1:11" x14ac:dyDescent="0.25">
      <c r="B48" s="1">
        <f>SUBTOTAL(109,Table125[Toplam Yıl Ödeneği])</f>
        <v>200826071</v>
      </c>
      <c r="C48" s="1">
        <f>SUBTOTAL(109,Table125[Toplam Proje Tutarı])</f>
        <v>5625378161</v>
      </c>
      <c r="D48" s="1">
        <f>SUBTOTAL(109,Table125[Önceki Yıllar Toplam Harcaması])</f>
        <v>1109934504</v>
      </c>
      <c r="E48" s="1">
        <f>SUBTOTAL(109,Table125[Yılı Harcama Tutarı])</f>
        <v>73140447</v>
      </c>
      <c r="F48" s="1">
        <f>SUBTOTAL(109,Table125[Toplam Harcama Tutarı])</f>
        <v>1178008153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10959-12C1-452F-A6BE-B38FC64A1B96}">
  <dimension ref="A1:L29"/>
  <sheetViews>
    <sheetView topLeftCell="A22" workbookViewId="0">
      <selection activeCell="M7" sqref="M7"/>
    </sheetView>
  </sheetViews>
  <sheetFormatPr defaultRowHeight="15" x14ac:dyDescent="0.25"/>
  <cols>
    <col min="1" max="1" width="36.28515625" customWidth="1"/>
    <col min="2" max="2" width="11.28515625" customWidth="1"/>
    <col min="3" max="3" width="14.7109375" customWidth="1"/>
    <col min="4" max="5" width="12.42578125" customWidth="1"/>
    <col min="6" max="6" width="14.28515625" customWidth="1"/>
  </cols>
  <sheetData>
    <row r="1" spans="1:12" x14ac:dyDescent="0.25">
      <c r="A1" s="9" t="s">
        <v>389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75" x14ac:dyDescent="0.25">
      <c r="A3" t="s">
        <v>50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57</v>
      </c>
    </row>
    <row r="4" spans="1:12" ht="75" x14ac:dyDescent="0.25">
      <c r="A4" s="4" t="s">
        <v>109</v>
      </c>
      <c r="B4" s="1">
        <v>996998.44</v>
      </c>
      <c r="C4" s="1">
        <v>313324000</v>
      </c>
      <c r="D4" s="1">
        <v>8980473.0299999993</v>
      </c>
      <c r="E4" s="1">
        <v>996998.44</v>
      </c>
      <c r="F4" s="1">
        <v>9977471.4700000007</v>
      </c>
      <c r="G4" s="2">
        <v>3.1843942596162397E-2</v>
      </c>
      <c r="H4" s="3">
        <v>0.74322960826297801</v>
      </c>
      <c r="I4" s="3">
        <v>1</v>
      </c>
      <c r="J4" s="3">
        <v>0.03</v>
      </c>
      <c r="K4" t="s">
        <v>34</v>
      </c>
    </row>
    <row r="5" spans="1:12" x14ac:dyDescent="0.25">
      <c r="A5" s="4" t="s">
        <v>202</v>
      </c>
      <c r="B5" s="1">
        <v>1000</v>
      </c>
      <c r="C5" s="1">
        <v>1000</v>
      </c>
      <c r="D5" s="1">
        <v>0</v>
      </c>
      <c r="E5" s="1">
        <v>0</v>
      </c>
      <c r="F5" s="1">
        <v>0</v>
      </c>
      <c r="G5" s="2">
        <v>0</v>
      </c>
      <c r="H5" s="3">
        <v>0</v>
      </c>
      <c r="I5" s="3">
        <v>0</v>
      </c>
      <c r="J5" s="3">
        <v>0</v>
      </c>
      <c r="K5" t="s">
        <v>87</v>
      </c>
    </row>
    <row r="6" spans="1:12" ht="30" x14ac:dyDescent="0.25">
      <c r="A6" s="4" t="s">
        <v>203</v>
      </c>
      <c r="B6" s="1">
        <v>1000</v>
      </c>
      <c r="C6" s="1">
        <v>1000</v>
      </c>
      <c r="D6" s="1">
        <v>0</v>
      </c>
      <c r="E6" s="1">
        <v>0</v>
      </c>
      <c r="F6" s="1">
        <v>0</v>
      </c>
      <c r="G6" s="2">
        <v>0</v>
      </c>
      <c r="H6" s="3">
        <v>0</v>
      </c>
      <c r="I6" s="3">
        <v>0</v>
      </c>
      <c r="J6" s="3">
        <v>0</v>
      </c>
      <c r="K6" t="s">
        <v>34</v>
      </c>
    </row>
    <row r="7" spans="1:12" ht="45.75" customHeight="1" x14ac:dyDescent="0.25">
      <c r="A7" s="4" t="s">
        <v>204</v>
      </c>
      <c r="B7" s="1">
        <v>35571804.219999999</v>
      </c>
      <c r="C7" s="1">
        <v>79880000</v>
      </c>
      <c r="D7" s="1">
        <v>0</v>
      </c>
      <c r="E7" s="1">
        <v>35571804.219999999</v>
      </c>
      <c r="F7" s="1">
        <v>35571804.219999999</v>
      </c>
      <c r="G7" s="2">
        <v>0.445315526039059</v>
      </c>
      <c r="H7" s="3">
        <v>0.57069493564192297</v>
      </c>
      <c r="I7" s="3">
        <v>1</v>
      </c>
      <c r="J7" s="3">
        <v>0.45</v>
      </c>
      <c r="K7" t="s">
        <v>33</v>
      </c>
    </row>
    <row r="8" spans="1:12" ht="45" x14ac:dyDescent="0.25">
      <c r="A8" s="4" t="s">
        <v>108</v>
      </c>
      <c r="B8" s="1">
        <v>4624000</v>
      </c>
      <c r="C8" s="1">
        <v>138229000</v>
      </c>
      <c r="D8" s="1">
        <v>87731961.730000004</v>
      </c>
      <c r="E8" s="1">
        <v>4623999.3</v>
      </c>
      <c r="F8" s="1">
        <v>92355961.030000001</v>
      </c>
      <c r="G8" s="2">
        <v>0.66813737370595205</v>
      </c>
      <c r="H8" s="3">
        <v>0.434688566176471</v>
      </c>
      <c r="I8" s="3">
        <v>0.99999984861591695</v>
      </c>
      <c r="J8" s="3">
        <v>0.67</v>
      </c>
      <c r="K8" t="s">
        <v>87</v>
      </c>
    </row>
    <row r="9" spans="1:12" x14ac:dyDescent="0.25">
      <c r="A9" s="4" t="s">
        <v>205</v>
      </c>
      <c r="B9" s="1">
        <v>9000</v>
      </c>
      <c r="C9" s="1">
        <v>9000</v>
      </c>
      <c r="D9" s="1">
        <v>0</v>
      </c>
      <c r="E9" s="1">
        <v>0</v>
      </c>
      <c r="F9" s="1">
        <v>0</v>
      </c>
      <c r="G9" s="2">
        <v>0</v>
      </c>
      <c r="H9" s="3">
        <v>0</v>
      </c>
      <c r="I9" s="3">
        <v>0</v>
      </c>
      <c r="J9" s="3">
        <v>0</v>
      </c>
      <c r="K9" t="s">
        <v>33</v>
      </c>
    </row>
    <row r="10" spans="1:12" ht="75" x14ac:dyDescent="0.25">
      <c r="A10" s="4" t="s">
        <v>107</v>
      </c>
      <c r="B10" s="1">
        <v>8156000</v>
      </c>
      <c r="C10" s="1">
        <v>427376000</v>
      </c>
      <c r="D10" s="1">
        <v>251095592.00999999</v>
      </c>
      <c r="E10" s="1">
        <v>2230998.7999999998</v>
      </c>
      <c r="F10" s="1">
        <v>253326590.81</v>
      </c>
      <c r="G10" s="2">
        <v>0.59274875241005598</v>
      </c>
      <c r="H10" s="3">
        <v>0.128739516920059</v>
      </c>
      <c r="I10" s="3">
        <v>0.27354080431584099</v>
      </c>
      <c r="J10" s="3">
        <v>0.59</v>
      </c>
      <c r="K10" t="s">
        <v>87</v>
      </c>
    </row>
    <row r="11" spans="1:12" ht="30" x14ac:dyDescent="0.25">
      <c r="A11" s="4" t="s">
        <v>206</v>
      </c>
      <c r="B11" s="1">
        <v>89505.36</v>
      </c>
      <c r="C11" s="1">
        <v>800000</v>
      </c>
      <c r="D11" s="1">
        <v>0</v>
      </c>
      <c r="E11" s="1">
        <v>89505.36</v>
      </c>
      <c r="F11" s="1">
        <v>89505.36</v>
      </c>
      <c r="G11" s="2">
        <v>0.1118817</v>
      </c>
      <c r="H11" s="3">
        <v>1</v>
      </c>
      <c r="I11" s="3">
        <v>1</v>
      </c>
      <c r="J11" s="3">
        <v>0.11</v>
      </c>
      <c r="K11" t="s">
        <v>33</v>
      </c>
    </row>
    <row r="12" spans="1:12" x14ac:dyDescent="0.25">
      <c r="A12" s="4" t="s">
        <v>106</v>
      </c>
      <c r="B12" s="1">
        <v>563.38</v>
      </c>
      <c r="C12" s="1">
        <v>563.38</v>
      </c>
      <c r="D12" s="1">
        <v>0</v>
      </c>
      <c r="E12" s="1">
        <v>0</v>
      </c>
      <c r="F12" s="1">
        <v>0</v>
      </c>
      <c r="G12" s="2">
        <v>0</v>
      </c>
      <c r="H12" s="3">
        <v>0</v>
      </c>
      <c r="I12" s="3">
        <v>0</v>
      </c>
      <c r="J12" s="3">
        <v>0</v>
      </c>
      <c r="K12" t="s">
        <v>34</v>
      </c>
    </row>
    <row r="13" spans="1:12" ht="60" x14ac:dyDescent="0.25">
      <c r="A13" s="4" t="s">
        <v>207</v>
      </c>
      <c r="B13" s="1">
        <v>464055.3</v>
      </c>
      <c r="C13" s="1">
        <v>750000</v>
      </c>
      <c r="D13" s="1">
        <v>0</v>
      </c>
      <c r="E13" s="1">
        <v>464055.3</v>
      </c>
      <c r="F13" s="1">
        <v>464055.3</v>
      </c>
      <c r="G13" s="2">
        <v>0.61874039999999997</v>
      </c>
      <c r="H13" s="3">
        <v>0.32371073016513302</v>
      </c>
      <c r="I13" s="3">
        <v>1</v>
      </c>
      <c r="J13" s="3">
        <v>0.62</v>
      </c>
      <c r="K13" t="s">
        <v>33</v>
      </c>
    </row>
    <row r="14" spans="1:12" ht="30" x14ac:dyDescent="0.25">
      <c r="A14" s="4" t="s">
        <v>208</v>
      </c>
      <c r="B14" s="1">
        <v>2050054.01</v>
      </c>
      <c r="C14" s="1">
        <v>3000000</v>
      </c>
      <c r="D14" s="1">
        <v>0</v>
      </c>
      <c r="E14" s="1">
        <v>2050054.01</v>
      </c>
      <c r="F14" s="1">
        <v>2050054.01</v>
      </c>
      <c r="G14" s="2">
        <v>0.68335133666666703</v>
      </c>
      <c r="H14" s="3">
        <v>1</v>
      </c>
      <c r="I14" s="3">
        <v>1</v>
      </c>
      <c r="J14" s="3">
        <v>0.68</v>
      </c>
      <c r="K14" t="s">
        <v>33</v>
      </c>
    </row>
    <row r="15" spans="1:12" ht="60" x14ac:dyDescent="0.25">
      <c r="A15" s="4" t="s">
        <v>390</v>
      </c>
      <c r="B15" s="1">
        <v>0</v>
      </c>
      <c r="C15" s="1">
        <v>13569041</v>
      </c>
      <c r="D15" s="1">
        <v>0</v>
      </c>
      <c r="E15" s="1">
        <v>0</v>
      </c>
      <c r="F15" s="1">
        <v>0</v>
      </c>
      <c r="G15" s="2">
        <v>0</v>
      </c>
      <c r="H15" s="3">
        <v>0</v>
      </c>
      <c r="I15" s="3">
        <v>0</v>
      </c>
      <c r="J15" s="3">
        <v>0</v>
      </c>
      <c r="K15" t="s">
        <v>32</v>
      </c>
    </row>
    <row r="16" spans="1:12" ht="75" x14ac:dyDescent="0.25">
      <c r="A16" s="4" t="s">
        <v>105</v>
      </c>
      <c r="B16" s="1">
        <v>6098760.6200000001</v>
      </c>
      <c r="C16" s="1">
        <v>20804000</v>
      </c>
      <c r="D16" s="1">
        <v>11010749.25</v>
      </c>
      <c r="E16" s="1">
        <v>6098760.6200000001</v>
      </c>
      <c r="F16" s="1">
        <v>17109509.870000001</v>
      </c>
      <c r="G16" s="2">
        <v>0.82241443328206099</v>
      </c>
      <c r="H16" s="3">
        <v>6.54685426889242E-2</v>
      </c>
      <c r="I16" s="3">
        <v>1</v>
      </c>
      <c r="J16" s="3">
        <v>0.82</v>
      </c>
      <c r="K16" t="s">
        <v>32</v>
      </c>
    </row>
    <row r="17" spans="1:11" ht="60" x14ac:dyDescent="0.25">
      <c r="A17" s="4" t="s">
        <v>104</v>
      </c>
      <c r="B17" s="1">
        <v>10000</v>
      </c>
      <c r="C17" s="1">
        <v>60000</v>
      </c>
      <c r="D17" s="1">
        <v>0</v>
      </c>
      <c r="E17" s="1">
        <v>10000</v>
      </c>
      <c r="F17" s="1">
        <v>10000</v>
      </c>
      <c r="G17" s="2">
        <v>0.16666666666666699</v>
      </c>
      <c r="H17" s="3">
        <v>0</v>
      </c>
      <c r="I17" s="3">
        <v>1</v>
      </c>
      <c r="J17" s="3">
        <v>0.17</v>
      </c>
      <c r="K17" t="s">
        <v>36</v>
      </c>
    </row>
    <row r="18" spans="1:11" ht="45" x14ac:dyDescent="0.25">
      <c r="A18" s="4" t="s">
        <v>103</v>
      </c>
      <c r="B18" s="1">
        <v>10000</v>
      </c>
      <c r="C18" s="1">
        <v>60000</v>
      </c>
      <c r="D18" s="1">
        <v>0</v>
      </c>
      <c r="E18" s="1">
        <v>10000</v>
      </c>
      <c r="F18" s="1">
        <v>10000</v>
      </c>
      <c r="G18" s="2">
        <v>0.16666666666666699</v>
      </c>
      <c r="H18" s="3">
        <v>0</v>
      </c>
      <c r="I18" s="3">
        <v>1</v>
      </c>
      <c r="J18" s="3">
        <v>0.17</v>
      </c>
      <c r="K18" t="s">
        <v>32</v>
      </c>
    </row>
    <row r="19" spans="1:11" x14ac:dyDescent="0.25">
      <c r="A19" s="4" t="s">
        <v>209</v>
      </c>
      <c r="B19" s="1">
        <v>2000</v>
      </c>
      <c r="C19" s="1">
        <v>2000</v>
      </c>
      <c r="D19" s="1">
        <v>0</v>
      </c>
      <c r="E19" s="1">
        <v>0</v>
      </c>
      <c r="F19" s="1">
        <v>0</v>
      </c>
      <c r="G19" s="2">
        <v>0</v>
      </c>
      <c r="H19" s="3">
        <v>0</v>
      </c>
      <c r="I19" s="3">
        <v>0</v>
      </c>
      <c r="J19" s="3">
        <v>0</v>
      </c>
      <c r="K19" t="s">
        <v>35</v>
      </c>
    </row>
    <row r="20" spans="1:11" ht="75" x14ac:dyDescent="0.25">
      <c r="A20" s="4" t="s">
        <v>102</v>
      </c>
      <c r="B20" s="1">
        <v>82152000</v>
      </c>
      <c r="C20" s="1">
        <v>5792055000</v>
      </c>
      <c r="D20" s="1">
        <v>700235717.91999996</v>
      </c>
      <c r="E20" s="1">
        <v>80074999.260000005</v>
      </c>
      <c r="F20" s="1">
        <v>780310717.17999995</v>
      </c>
      <c r="G20" s="2">
        <v>0.134720874919178</v>
      </c>
      <c r="H20" s="3">
        <v>0.481339464650891</v>
      </c>
      <c r="I20" s="3">
        <v>0.974717587642419</v>
      </c>
      <c r="J20" s="3">
        <v>0.13</v>
      </c>
      <c r="K20" t="s">
        <v>32</v>
      </c>
    </row>
    <row r="21" spans="1:11" ht="75" x14ac:dyDescent="0.25">
      <c r="A21" s="4" t="s">
        <v>101</v>
      </c>
      <c r="B21" s="1">
        <v>231661466.03999999</v>
      </c>
      <c r="C21" s="1">
        <v>2347042000</v>
      </c>
      <c r="D21" s="1">
        <v>168279709.72</v>
      </c>
      <c r="E21" s="1">
        <v>52167994.420000002</v>
      </c>
      <c r="F21" s="1">
        <v>220447704.13999999</v>
      </c>
      <c r="G21" s="2">
        <v>9.3925760229258803E-2</v>
      </c>
      <c r="H21" s="3">
        <v>6.0467535924085498E-2</v>
      </c>
      <c r="I21" s="3">
        <v>0.225190642672495</v>
      </c>
      <c r="J21" s="3">
        <v>0.1</v>
      </c>
      <c r="K21" t="s">
        <v>87</v>
      </c>
    </row>
    <row r="22" spans="1:11" ht="45" x14ac:dyDescent="0.25">
      <c r="A22" s="4" t="s">
        <v>100</v>
      </c>
      <c r="B22" s="1">
        <v>12845999.43</v>
      </c>
      <c r="C22" s="1">
        <v>312000000</v>
      </c>
      <c r="D22" s="1">
        <v>29890116.059999999</v>
      </c>
      <c r="E22" s="1">
        <v>12845999.43</v>
      </c>
      <c r="F22" s="1">
        <v>42736115.490000002</v>
      </c>
      <c r="G22" s="2">
        <v>0.136974729134615</v>
      </c>
      <c r="H22" s="3">
        <v>0.46271214337116001</v>
      </c>
      <c r="I22" s="3">
        <v>1</v>
      </c>
      <c r="J22" s="3">
        <v>0.14000000000000001</v>
      </c>
      <c r="K22" t="s">
        <v>33</v>
      </c>
    </row>
    <row r="23" spans="1:11" x14ac:dyDescent="0.25">
      <c r="A23" s="4" t="s">
        <v>99</v>
      </c>
      <c r="B23" s="1">
        <v>3432742</v>
      </c>
      <c r="C23" s="1">
        <v>3432742</v>
      </c>
      <c r="D23" s="1">
        <v>0</v>
      </c>
      <c r="E23" s="1">
        <v>0</v>
      </c>
      <c r="F23" s="1">
        <v>0</v>
      </c>
      <c r="G23" s="2">
        <v>0</v>
      </c>
      <c r="H23" s="3">
        <v>0</v>
      </c>
      <c r="I23" s="3">
        <v>0</v>
      </c>
      <c r="J23" s="3">
        <v>0</v>
      </c>
      <c r="K23" t="s">
        <v>87</v>
      </c>
    </row>
    <row r="24" spans="1:11" ht="75" x14ac:dyDescent="0.25">
      <c r="A24" s="4" t="s">
        <v>98</v>
      </c>
      <c r="B24" s="1">
        <v>145574523.72</v>
      </c>
      <c r="C24" s="1">
        <v>2828988000</v>
      </c>
      <c r="D24" s="1">
        <v>2100969925.53</v>
      </c>
      <c r="E24" s="1">
        <v>145574523.72</v>
      </c>
      <c r="F24" s="1">
        <v>2246544449.25</v>
      </c>
      <c r="G24" s="2">
        <v>0.79411593447904305</v>
      </c>
      <c r="H24" s="3">
        <v>0.47720248347586403</v>
      </c>
      <c r="I24" s="3">
        <v>1</v>
      </c>
      <c r="J24" s="3">
        <v>0.79</v>
      </c>
      <c r="K24" t="s">
        <v>87</v>
      </c>
    </row>
    <row r="25" spans="1:11" ht="60" x14ac:dyDescent="0.25">
      <c r="A25" s="4" t="s">
        <v>97</v>
      </c>
      <c r="B25" s="1">
        <v>17207533.960000001</v>
      </c>
      <c r="C25" s="1">
        <v>140000000</v>
      </c>
      <c r="D25" s="1">
        <v>118489467.44</v>
      </c>
      <c r="E25" s="1">
        <v>8133997.3099999996</v>
      </c>
      <c r="F25" s="1">
        <v>126623464.75</v>
      </c>
      <c r="G25" s="2">
        <v>0.90445331964285702</v>
      </c>
      <c r="H25" s="3">
        <v>0.222634964365341</v>
      </c>
      <c r="I25" s="3">
        <v>0.472699767956756</v>
      </c>
      <c r="J25" s="3">
        <v>0.9</v>
      </c>
      <c r="K25" t="s">
        <v>87</v>
      </c>
    </row>
    <row r="26" spans="1:11" x14ac:dyDescent="0.25">
      <c r="A26" s="4" t="s">
        <v>210</v>
      </c>
      <c r="B26" s="1">
        <v>995111.43</v>
      </c>
      <c r="C26" s="1">
        <v>10000000</v>
      </c>
      <c r="D26" s="1">
        <v>0</v>
      </c>
      <c r="E26" s="1">
        <v>995111.43</v>
      </c>
      <c r="F26" s="1">
        <v>995111.43</v>
      </c>
      <c r="G26" s="2">
        <v>9.9511142999999996E-2</v>
      </c>
      <c r="H26" s="3">
        <v>1</v>
      </c>
      <c r="I26" s="3">
        <v>1</v>
      </c>
      <c r="J26" s="3">
        <v>0.1</v>
      </c>
      <c r="K26" t="s">
        <v>33</v>
      </c>
    </row>
    <row r="27" spans="1:11" x14ac:dyDescent="0.25">
      <c r="A27" s="4" t="s">
        <v>211</v>
      </c>
      <c r="B27" s="1">
        <v>3971327.24</v>
      </c>
      <c r="C27" s="1">
        <v>17000000</v>
      </c>
      <c r="D27" s="1">
        <v>0</v>
      </c>
      <c r="E27" s="1">
        <v>3971327.24</v>
      </c>
      <c r="F27" s="1">
        <v>3971327.24</v>
      </c>
      <c r="G27" s="2">
        <v>0.233607484705882</v>
      </c>
      <c r="H27" s="3">
        <v>1</v>
      </c>
      <c r="I27" s="3">
        <v>1</v>
      </c>
      <c r="J27" s="3">
        <v>0.23</v>
      </c>
      <c r="K27" t="s">
        <v>33</v>
      </c>
    </row>
    <row r="28" spans="1:11" x14ac:dyDescent="0.25">
      <c r="A28" s="4" t="s">
        <v>96</v>
      </c>
      <c r="B28" s="1">
        <v>3782240.92</v>
      </c>
      <c r="C28" s="1">
        <v>174490000</v>
      </c>
      <c r="D28" s="1">
        <v>26133173.59</v>
      </c>
      <c r="E28" s="1">
        <v>3782240.92</v>
      </c>
      <c r="F28" s="1">
        <v>29915414.510000002</v>
      </c>
      <c r="G28" s="2">
        <v>0.17144486509255499</v>
      </c>
      <c r="H28" s="3">
        <v>0.49945564810821202</v>
      </c>
      <c r="I28" s="3">
        <v>1</v>
      </c>
      <c r="J28" s="3">
        <v>0.17</v>
      </c>
      <c r="K28" t="s">
        <v>32</v>
      </c>
    </row>
    <row r="29" spans="1:11" x14ac:dyDescent="0.25">
      <c r="B29" s="1">
        <f>SUBTOTAL(109,Table126[Toplam Yıl Ödeneği])</f>
        <v>559707686.06999993</v>
      </c>
      <c r="C29" s="1">
        <f>SUBTOTAL(109,Table126[Toplam Proje Tutarı])</f>
        <v>12622873346.380001</v>
      </c>
      <c r="D29" s="1">
        <f>SUBTOTAL(109,Table126[Önceki Yıllar Toplam Harcaması])</f>
        <v>3502816886.2800002</v>
      </c>
      <c r="E29" s="1">
        <f>SUBTOTAL(109,Table126[Yılı Harcama Tutarı])</f>
        <v>359692369.78000003</v>
      </c>
      <c r="F29" s="1">
        <f>SUBTOTAL(109,Table126[Toplam Harcama Tutarı])</f>
        <v>3862509256.0599999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GENEL BÜTÇE</vt:lpstr>
      <vt:lpstr>MAHALLİ İDARELER</vt:lpstr>
      <vt:lpstr>İLÇELER</vt:lpstr>
      <vt:lpstr>SEKTÖRLER</vt:lpstr>
      <vt:lpstr>ERZİNCAN BELEDİYESİ</vt:lpstr>
      <vt:lpstr>EBYÜ</vt:lpstr>
      <vt:lpstr>İL ÖZEL İDARESİ</vt:lpstr>
      <vt:lpstr>DSİ 8. BÖLGE MÜDÜRLÜĞÜ </vt:lpstr>
      <vt:lpstr>KARAYOLLARI 16. BÖLGE MÜDÜRLÜĞÜ</vt:lpstr>
      <vt:lpstr>KARAYOLLARI 12. BÖLGE </vt:lpstr>
      <vt:lpstr> İLLER BANKASI  BÖLGE </vt:lpstr>
      <vt:lpstr>ORMAN BÖLGE</vt:lpstr>
      <vt:lpstr>TARIM VE ORMAN BAKANLIĞI 13. BÖ</vt:lpstr>
      <vt:lpstr>TCDD 4. BÖLGE MÜDÜRLÜĞÜ </vt:lpstr>
      <vt:lpstr> TEİAŞ 15. BÖLGE MÜDÜRLÜĞÜ </vt:lpstr>
      <vt:lpstr>VAKIFLAR BÖLGE MÜDÜRLÜĞ</vt:lpstr>
      <vt:lpstr> ÇEVRE, ŞEHİRCİLİK VE İ</vt:lpstr>
      <vt:lpstr> GENÇLİK VE SPOR İL MÜ</vt:lpstr>
      <vt:lpstr> İL AFET VE ACİL DURUM </vt:lpstr>
      <vt:lpstr> İL KÜLTÜR VE TURİZM MÜ</vt:lpstr>
      <vt:lpstr> İL SAĞLIK MÜDÜRLÜĞÜ</vt:lpstr>
      <vt:lpstr> İL TARIM VE ORMAN MÜDÜ</vt:lpstr>
      <vt:lpstr> İL MİLLİ EĞİTİM MÜDÜRLÜĞÜ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Engin USTAOĞLU</cp:lastModifiedBy>
  <cp:lastPrinted>2023-01-20T10:35:28Z</cp:lastPrinted>
  <dcterms:created xsi:type="dcterms:W3CDTF">2016-07-06T08:22:49Z</dcterms:created>
  <dcterms:modified xsi:type="dcterms:W3CDTF">2023-07-25T07:30:15Z</dcterms:modified>
</cp:coreProperties>
</file>